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Wong Tak Shing\Desktop\Wong-sir Running Formulae\"/>
    </mc:Choice>
  </mc:AlternateContent>
  <xr:revisionPtr revIDLastSave="0" documentId="13_ncr:1_{723E9E4B-80CD-41C6-BACC-AFB6F1991A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rcent_vVO2max" sheetId="4" r:id="rId1"/>
    <sheet name="Programm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6" i="2" l="1"/>
  <c r="C186" i="2"/>
  <c r="F185" i="2"/>
  <c r="C185" i="2"/>
  <c r="F184" i="2"/>
  <c r="C184" i="2"/>
  <c r="F183" i="2"/>
  <c r="C183" i="2"/>
  <c r="J456" i="2"/>
  <c r="G489" i="2" s="1"/>
  <c r="J454" i="2"/>
  <c r="E474" i="2" s="1"/>
  <c r="J452" i="2"/>
  <c r="G468" i="2" s="1"/>
  <c r="J450" i="2"/>
  <c r="G461" i="2" s="1"/>
  <c r="E487" i="2" l="1"/>
  <c r="G487" i="2"/>
  <c r="E486" i="2"/>
  <c r="E488" i="2"/>
  <c r="G486" i="2"/>
  <c r="G488" i="2"/>
  <c r="E481" i="2"/>
  <c r="E480" i="2"/>
  <c r="G480" i="2"/>
  <c r="E478" i="2"/>
  <c r="E477" i="2"/>
  <c r="G478" i="2"/>
  <c r="G477" i="2"/>
  <c r="G481" i="2"/>
  <c r="G479" i="2"/>
  <c r="E485" i="2"/>
  <c r="E489" i="2"/>
  <c r="E479" i="2"/>
  <c r="G485" i="2"/>
  <c r="G472" i="2"/>
  <c r="G474" i="2"/>
  <c r="G473" i="2"/>
  <c r="E473" i="2"/>
  <c r="E472" i="2"/>
  <c r="E461" i="2"/>
  <c r="G467" i="2"/>
  <c r="E467" i="2"/>
  <c r="E466" i="2"/>
  <c r="E468" i="2"/>
  <c r="G466" i="2"/>
  <c r="G462" i="2"/>
  <c r="G460" i="2"/>
  <c r="E462" i="2"/>
  <c r="E460" i="2"/>
  <c r="F70" i="4"/>
  <c r="F69" i="4"/>
  <c r="F68" i="4"/>
  <c r="F67" i="4"/>
  <c r="F66" i="4"/>
  <c r="F65" i="4"/>
  <c r="F64" i="4"/>
  <c r="F63" i="4"/>
  <c r="F62" i="4"/>
  <c r="F61" i="4"/>
  <c r="F60" i="4"/>
  <c r="J60" i="4" s="1"/>
  <c r="I11" i="2"/>
  <c r="G11" i="2"/>
  <c r="G5" i="2"/>
  <c r="G7" i="2" s="1"/>
  <c r="G43" i="4"/>
  <c r="J43" i="4" s="1"/>
  <c r="G36" i="4"/>
  <c r="F216" i="4" s="1"/>
  <c r="H27" i="4"/>
  <c r="H29" i="4" s="1"/>
  <c r="H23" i="4"/>
  <c r="J23" i="4" s="1"/>
  <c r="F245" i="2" l="1"/>
  <c r="C245" i="2"/>
  <c r="F239" i="2"/>
  <c r="C239" i="2"/>
  <c r="C232" i="2"/>
  <c r="F232" i="2"/>
  <c r="F233" i="2"/>
  <c r="C233" i="2"/>
  <c r="F251" i="2"/>
  <c r="C252" i="2"/>
  <c r="C246" i="2"/>
  <c r="C240" i="2"/>
  <c r="F252" i="2"/>
  <c r="C250" i="2"/>
  <c r="C244" i="2"/>
  <c r="C238" i="2"/>
  <c r="C251" i="2"/>
  <c r="F244" i="2"/>
  <c r="F238" i="2"/>
  <c r="C234" i="2"/>
  <c r="F250" i="2"/>
  <c r="F246" i="2"/>
  <c r="F240" i="2"/>
  <c r="F234" i="2"/>
  <c r="F31" i="2"/>
  <c r="F127" i="2"/>
  <c r="J127" i="2" s="1"/>
  <c r="G13" i="2"/>
  <c r="J13" i="2" s="1"/>
  <c r="F224" i="4"/>
  <c r="J224" i="4" s="1"/>
  <c r="F220" i="4"/>
  <c r="J220" i="4" s="1"/>
  <c r="F225" i="4"/>
  <c r="J225" i="4" s="1"/>
  <c r="F221" i="4"/>
  <c r="J221" i="4" s="1"/>
  <c r="F217" i="4"/>
  <c r="J217" i="4" s="1"/>
  <c r="F226" i="4"/>
  <c r="J226" i="4" s="1"/>
  <c r="F218" i="4"/>
  <c r="J218" i="4" s="1"/>
  <c r="J216" i="4"/>
  <c r="F223" i="4"/>
  <c r="J223" i="4" s="1"/>
  <c r="F222" i="4"/>
  <c r="J222" i="4" s="1"/>
  <c r="F219" i="4"/>
  <c r="J219" i="4" s="1"/>
  <c r="F144" i="4"/>
  <c r="F168" i="4"/>
  <c r="F192" i="4"/>
  <c r="F204" i="4"/>
  <c r="F96" i="4"/>
  <c r="F84" i="4"/>
  <c r="F72" i="4"/>
  <c r="F48" i="4"/>
  <c r="F156" i="4"/>
  <c r="F180" i="4"/>
  <c r="J36" i="4"/>
  <c r="G44" i="4" s="1"/>
  <c r="G46" i="4" s="1"/>
  <c r="F108" i="4"/>
  <c r="F120" i="4"/>
  <c r="F132" i="4"/>
  <c r="J7" i="2"/>
  <c r="F19" i="2"/>
  <c r="F139" i="2"/>
  <c r="J139" i="2" s="1"/>
  <c r="F91" i="2"/>
  <c r="J91" i="2" s="1"/>
  <c r="F151" i="2"/>
  <c r="J151" i="2" s="1"/>
  <c r="F103" i="2"/>
  <c r="J103" i="2" s="1"/>
  <c r="F55" i="2"/>
  <c r="J55" i="2" s="1"/>
  <c r="F163" i="2"/>
  <c r="J163" i="2" s="1"/>
  <c r="F115" i="2"/>
  <c r="J115" i="2" s="1"/>
  <c r="F67" i="2"/>
  <c r="J67" i="2" s="1"/>
  <c r="F79" i="2"/>
  <c r="J79" i="2" s="1"/>
  <c r="F43" i="2"/>
  <c r="J31" i="2" l="1"/>
  <c r="F41" i="2"/>
  <c r="F37" i="2"/>
  <c r="F33" i="2"/>
  <c r="F40" i="2"/>
  <c r="F36" i="2"/>
  <c r="F32" i="2"/>
  <c r="F38" i="2"/>
  <c r="F34" i="2"/>
  <c r="F409" i="2" s="1"/>
  <c r="F39" i="2"/>
  <c r="F35" i="2"/>
  <c r="F414" i="2" s="1"/>
  <c r="F129" i="2"/>
  <c r="F308" i="2" s="1"/>
  <c r="F128" i="2"/>
  <c r="J128" i="2" s="1"/>
  <c r="F137" i="2"/>
  <c r="F134" i="2"/>
  <c r="F131" i="2"/>
  <c r="F136" i="2"/>
  <c r="F135" i="2"/>
  <c r="F133" i="2"/>
  <c r="F132" i="2"/>
  <c r="F130" i="2"/>
  <c r="F22" i="2"/>
  <c r="F21" i="2"/>
  <c r="F24" i="2"/>
  <c r="J24" i="2" s="1"/>
  <c r="F25" i="2"/>
  <c r="J25" i="2" s="1"/>
  <c r="F27" i="2"/>
  <c r="J27" i="2" s="1"/>
  <c r="F28" i="2"/>
  <c r="J28" i="2" s="1"/>
  <c r="F29" i="2"/>
  <c r="J29" i="2" s="1"/>
  <c r="F46" i="2"/>
  <c r="J46" i="2" s="1"/>
  <c r="F45" i="2"/>
  <c r="J45" i="2" s="1"/>
  <c r="J43" i="2"/>
  <c r="F48" i="2"/>
  <c r="J48" i="2" s="1"/>
  <c r="F49" i="2"/>
  <c r="J49" i="2" s="1"/>
  <c r="F20" i="2"/>
  <c r="F116" i="4"/>
  <c r="J116" i="4" s="1"/>
  <c r="F112" i="4"/>
  <c r="J112" i="4" s="1"/>
  <c r="F117" i="4"/>
  <c r="J117" i="4" s="1"/>
  <c r="F113" i="4"/>
  <c r="J113" i="4" s="1"/>
  <c r="F109" i="4"/>
  <c r="J109" i="4" s="1"/>
  <c r="F118" i="4"/>
  <c r="J118" i="4" s="1"/>
  <c r="F110" i="4"/>
  <c r="J110" i="4" s="1"/>
  <c r="F115" i="4"/>
  <c r="J115" i="4" s="1"/>
  <c r="F111" i="4"/>
  <c r="J111" i="4" s="1"/>
  <c r="J108" i="4"/>
  <c r="F114" i="4"/>
  <c r="J114" i="4" s="1"/>
  <c r="F58" i="4"/>
  <c r="J58" i="4" s="1"/>
  <c r="F54" i="4"/>
  <c r="J54" i="4" s="1"/>
  <c r="F50" i="4"/>
  <c r="J50" i="4" s="1"/>
  <c r="J48" i="4"/>
  <c r="F55" i="4"/>
  <c r="J55" i="4" s="1"/>
  <c r="F51" i="4"/>
  <c r="J51" i="4" s="1"/>
  <c r="F53" i="4"/>
  <c r="J53" i="4" s="1"/>
  <c r="F52" i="4"/>
  <c r="J52" i="4" s="1"/>
  <c r="F57" i="4"/>
  <c r="J57" i="4" s="1"/>
  <c r="F49" i="4"/>
  <c r="J49" i="4" s="1"/>
  <c r="F56" i="4"/>
  <c r="J56" i="4" s="1"/>
  <c r="F212" i="4"/>
  <c r="J212" i="4" s="1"/>
  <c r="F208" i="4"/>
  <c r="J208" i="4" s="1"/>
  <c r="F213" i="4"/>
  <c r="J213" i="4" s="1"/>
  <c r="F209" i="4"/>
  <c r="J209" i="4" s="1"/>
  <c r="F205" i="4"/>
  <c r="J205" i="4" s="1"/>
  <c r="F214" i="4"/>
  <c r="J214" i="4" s="1"/>
  <c r="F206" i="4"/>
  <c r="J206" i="4" s="1"/>
  <c r="F210" i="4"/>
  <c r="J210" i="4" s="1"/>
  <c r="F211" i="4"/>
  <c r="J211" i="4" s="1"/>
  <c r="J204" i="4"/>
  <c r="F207" i="4"/>
  <c r="J207" i="4" s="1"/>
  <c r="H219" i="4"/>
  <c r="H225" i="4"/>
  <c r="F140" i="4"/>
  <c r="J140" i="4" s="1"/>
  <c r="F136" i="4"/>
  <c r="J136" i="4" s="1"/>
  <c r="F141" i="4"/>
  <c r="J141" i="4" s="1"/>
  <c r="F137" i="4"/>
  <c r="J137" i="4" s="1"/>
  <c r="F133" i="4"/>
  <c r="J133" i="4" s="1"/>
  <c r="F142" i="4"/>
  <c r="J142" i="4" s="1"/>
  <c r="F134" i="4"/>
  <c r="J134" i="4" s="1"/>
  <c r="F139" i="4"/>
  <c r="J139" i="4" s="1"/>
  <c r="F138" i="4"/>
  <c r="J138" i="4" s="1"/>
  <c r="J132" i="4"/>
  <c r="F135" i="4"/>
  <c r="J135" i="4" s="1"/>
  <c r="F188" i="4"/>
  <c r="J188" i="4" s="1"/>
  <c r="F184" i="4"/>
  <c r="J184" i="4" s="1"/>
  <c r="F189" i="4"/>
  <c r="J189" i="4" s="1"/>
  <c r="F185" i="4"/>
  <c r="J185" i="4" s="1"/>
  <c r="F181" i="4"/>
  <c r="J181" i="4" s="1"/>
  <c r="F190" i="4"/>
  <c r="J190" i="4" s="1"/>
  <c r="F182" i="4"/>
  <c r="J182" i="4" s="1"/>
  <c r="F186" i="4"/>
  <c r="J186" i="4" s="1"/>
  <c r="J180" i="4"/>
  <c r="F187" i="4"/>
  <c r="J187" i="4" s="1"/>
  <c r="F183" i="4"/>
  <c r="J183" i="4" s="1"/>
  <c r="F94" i="4"/>
  <c r="J94" i="4" s="1"/>
  <c r="F90" i="4"/>
  <c r="J90" i="4" s="1"/>
  <c r="F86" i="4"/>
  <c r="J86" i="4" s="1"/>
  <c r="J84" i="4"/>
  <c r="F91" i="4"/>
  <c r="J91" i="4" s="1"/>
  <c r="F87" i="4"/>
  <c r="J87" i="4" s="1"/>
  <c r="F89" i="4"/>
  <c r="J89" i="4" s="1"/>
  <c r="F93" i="4"/>
  <c r="J93" i="4" s="1"/>
  <c r="F88" i="4"/>
  <c r="J88" i="4" s="1"/>
  <c r="F85" i="4"/>
  <c r="J85" i="4" s="1"/>
  <c r="F92" i="4"/>
  <c r="J92" i="4" s="1"/>
  <c r="F176" i="4"/>
  <c r="J176" i="4" s="1"/>
  <c r="F172" i="4"/>
  <c r="J172" i="4" s="1"/>
  <c r="F177" i="4"/>
  <c r="J177" i="4" s="1"/>
  <c r="F173" i="4"/>
  <c r="J173" i="4" s="1"/>
  <c r="F169" i="4"/>
  <c r="J169" i="4" s="1"/>
  <c r="F178" i="4"/>
  <c r="J178" i="4" s="1"/>
  <c r="F170" i="4"/>
  <c r="J170" i="4" s="1"/>
  <c r="F174" i="4"/>
  <c r="J174" i="4" s="1"/>
  <c r="F175" i="4"/>
  <c r="J175" i="4" s="1"/>
  <c r="J168" i="4"/>
  <c r="F171" i="4"/>
  <c r="J171" i="4" s="1"/>
  <c r="H222" i="4"/>
  <c r="H226" i="4"/>
  <c r="H220" i="4"/>
  <c r="H221" i="4"/>
  <c r="F82" i="4"/>
  <c r="J82" i="4" s="1"/>
  <c r="F78" i="4"/>
  <c r="J78" i="4" s="1"/>
  <c r="F74" i="4"/>
  <c r="J74" i="4" s="1"/>
  <c r="J72" i="4"/>
  <c r="F79" i="4"/>
  <c r="J79" i="4" s="1"/>
  <c r="F75" i="4"/>
  <c r="J75" i="4" s="1"/>
  <c r="F77" i="4"/>
  <c r="J77" i="4" s="1"/>
  <c r="F81" i="4"/>
  <c r="J81" i="4" s="1"/>
  <c r="F76" i="4"/>
  <c r="J76" i="4" s="1"/>
  <c r="F73" i="4"/>
  <c r="J73" i="4" s="1"/>
  <c r="F80" i="4"/>
  <c r="J80" i="4" s="1"/>
  <c r="F200" i="4"/>
  <c r="J200" i="4" s="1"/>
  <c r="F196" i="4"/>
  <c r="J196" i="4" s="1"/>
  <c r="F201" i="4"/>
  <c r="J201" i="4" s="1"/>
  <c r="F197" i="4"/>
  <c r="J197" i="4" s="1"/>
  <c r="F193" i="4"/>
  <c r="J193" i="4" s="1"/>
  <c r="F202" i="4"/>
  <c r="J202" i="4" s="1"/>
  <c r="F194" i="4"/>
  <c r="J194" i="4" s="1"/>
  <c r="J192" i="4"/>
  <c r="F199" i="4"/>
  <c r="J199" i="4" s="1"/>
  <c r="F198" i="4"/>
  <c r="J198" i="4" s="1"/>
  <c r="F195" i="4"/>
  <c r="J195" i="4" s="1"/>
  <c r="H218" i="4"/>
  <c r="F128" i="4"/>
  <c r="J128" i="4" s="1"/>
  <c r="F124" i="4"/>
  <c r="J124" i="4" s="1"/>
  <c r="F129" i="4"/>
  <c r="J129" i="4" s="1"/>
  <c r="F125" i="4"/>
  <c r="J125" i="4" s="1"/>
  <c r="F121" i="4"/>
  <c r="J121" i="4" s="1"/>
  <c r="F130" i="4"/>
  <c r="J130" i="4" s="1"/>
  <c r="F122" i="4"/>
  <c r="J122" i="4" s="1"/>
  <c r="F127" i="4"/>
  <c r="J127" i="4" s="1"/>
  <c r="J120" i="4"/>
  <c r="F123" i="4"/>
  <c r="J123" i="4" s="1"/>
  <c r="F126" i="4"/>
  <c r="J126" i="4" s="1"/>
  <c r="F164" i="4"/>
  <c r="J164" i="4" s="1"/>
  <c r="F160" i="4"/>
  <c r="J160" i="4" s="1"/>
  <c r="F165" i="4"/>
  <c r="J165" i="4" s="1"/>
  <c r="F161" i="4"/>
  <c r="J161" i="4" s="1"/>
  <c r="F157" i="4"/>
  <c r="J157" i="4" s="1"/>
  <c r="F166" i="4"/>
  <c r="J166" i="4" s="1"/>
  <c r="F158" i="4"/>
  <c r="J158" i="4" s="1"/>
  <c r="J156" i="4"/>
  <c r="F163" i="4"/>
  <c r="J163" i="4" s="1"/>
  <c r="F162" i="4"/>
  <c r="J162" i="4" s="1"/>
  <c r="F159" i="4"/>
  <c r="J159" i="4" s="1"/>
  <c r="F104" i="4"/>
  <c r="J104" i="4" s="1"/>
  <c r="F105" i="4"/>
  <c r="J105" i="4" s="1"/>
  <c r="F101" i="4"/>
  <c r="J101" i="4" s="1"/>
  <c r="F106" i="4"/>
  <c r="J106" i="4" s="1"/>
  <c r="F98" i="4"/>
  <c r="J98" i="4" s="1"/>
  <c r="J96" i="4"/>
  <c r="F103" i="4"/>
  <c r="J103" i="4" s="1"/>
  <c r="F99" i="4"/>
  <c r="J99" i="4" s="1"/>
  <c r="F102" i="4"/>
  <c r="J102" i="4" s="1"/>
  <c r="F100" i="4"/>
  <c r="J100" i="4" s="1"/>
  <c r="F97" i="4"/>
  <c r="J97" i="4" s="1"/>
  <c r="F152" i="4"/>
  <c r="J152" i="4" s="1"/>
  <c r="F148" i="4"/>
  <c r="J148" i="4" s="1"/>
  <c r="F153" i="4"/>
  <c r="J153" i="4" s="1"/>
  <c r="F149" i="4"/>
  <c r="J149" i="4" s="1"/>
  <c r="F145" i="4"/>
  <c r="J145" i="4" s="1"/>
  <c r="F154" i="4"/>
  <c r="J154" i="4" s="1"/>
  <c r="F146" i="4"/>
  <c r="J146" i="4" s="1"/>
  <c r="F150" i="4"/>
  <c r="J150" i="4" s="1"/>
  <c r="F151" i="4"/>
  <c r="J151" i="4" s="1"/>
  <c r="J144" i="4"/>
  <c r="F147" i="4"/>
  <c r="J147" i="4" s="1"/>
  <c r="H223" i="4"/>
  <c r="H217" i="4"/>
  <c r="H224" i="4"/>
  <c r="G14" i="2"/>
  <c r="G16" i="2" s="1"/>
  <c r="F26" i="2"/>
  <c r="J26" i="2" s="1"/>
  <c r="J19" i="2"/>
  <c r="F23" i="2"/>
  <c r="F75" i="2"/>
  <c r="J75" i="2" s="1"/>
  <c r="F71" i="2"/>
  <c r="F276" i="2" s="1"/>
  <c r="F76" i="2"/>
  <c r="J76" i="2" s="1"/>
  <c r="F72" i="2"/>
  <c r="F280" i="2" s="1"/>
  <c r="F68" i="2"/>
  <c r="F263" i="2" s="1"/>
  <c r="F77" i="2"/>
  <c r="J77" i="2" s="1"/>
  <c r="F73" i="2"/>
  <c r="F284" i="2" s="1"/>
  <c r="F69" i="2"/>
  <c r="F268" i="2" s="1"/>
  <c r="F74" i="2"/>
  <c r="J74" i="2" s="1"/>
  <c r="F70" i="2"/>
  <c r="F272" i="2" s="1"/>
  <c r="F112" i="2"/>
  <c r="F352" i="2" s="1"/>
  <c r="F108" i="2"/>
  <c r="F327" i="2" s="1"/>
  <c r="F104" i="2"/>
  <c r="J104" i="2" s="1"/>
  <c r="F113" i="2"/>
  <c r="F109" i="2"/>
  <c r="F332" i="2" s="1"/>
  <c r="F105" i="2"/>
  <c r="F307" i="2" s="1"/>
  <c r="F110" i="2"/>
  <c r="F106" i="2"/>
  <c r="F312" i="2" s="1"/>
  <c r="F111" i="2"/>
  <c r="F107" i="2"/>
  <c r="F171" i="2"/>
  <c r="J171" i="2" s="1"/>
  <c r="F167" i="2"/>
  <c r="J167" i="2" s="1"/>
  <c r="F172" i="2"/>
  <c r="J172" i="2" s="1"/>
  <c r="F168" i="2"/>
  <c r="J168" i="2" s="1"/>
  <c r="F164" i="2"/>
  <c r="J164" i="2" s="1"/>
  <c r="F173" i="2"/>
  <c r="J173" i="2" s="1"/>
  <c r="F169" i="2"/>
  <c r="J169" i="2" s="1"/>
  <c r="F165" i="2"/>
  <c r="J165" i="2" s="1"/>
  <c r="F166" i="2"/>
  <c r="J166" i="2" s="1"/>
  <c r="F170" i="2"/>
  <c r="J170" i="2" s="1"/>
  <c r="F101" i="2"/>
  <c r="J101" i="2" s="1"/>
  <c r="F97" i="2"/>
  <c r="F425" i="2" s="1"/>
  <c r="F93" i="2"/>
  <c r="J93" i="2" s="1"/>
  <c r="F98" i="2"/>
  <c r="F430" i="2" s="1"/>
  <c r="F94" i="2"/>
  <c r="J94" i="2" s="1"/>
  <c r="F99" i="2"/>
  <c r="F435" i="2" s="1"/>
  <c r="F95" i="2"/>
  <c r="F92" i="2"/>
  <c r="J92" i="2" s="1"/>
  <c r="F96" i="2"/>
  <c r="F420" i="2" s="1"/>
  <c r="F100" i="2"/>
  <c r="J100" i="2" s="1"/>
  <c r="H137" i="2"/>
  <c r="F53" i="2"/>
  <c r="J53" i="2" s="1"/>
  <c r="F51" i="2"/>
  <c r="J51" i="2" s="1"/>
  <c r="F47" i="2"/>
  <c r="J47" i="2" s="1"/>
  <c r="F44" i="2"/>
  <c r="J44" i="2" s="1"/>
  <c r="F52" i="2"/>
  <c r="J52" i="2" s="1"/>
  <c r="F50" i="2"/>
  <c r="J50" i="2" s="1"/>
  <c r="F64" i="2"/>
  <c r="J64" i="2" s="1"/>
  <c r="F60" i="2"/>
  <c r="J60" i="2" s="1"/>
  <c r="F56" i="2"/>
  <c r="F65" i="2"/>
  <c r="J65" i="2" s="1"/>
  <c r="F61" i="2"/>
  <c r="J61" i="2" s="1"/>
  <c r="F57" i="2"/>
  <c r="F62" i="2"/>
  <c r="J62" i="2" s="1"/>
  <c r="F58" i="2"/>
  <c r="F59" i="2"/>
  <c r="F63" i="2"/>
  <c r="J63" i="2" s="1"/>
  <c r="F149" i="2"/>
  <c r="J149" i="2" s="1"/>
  <c r="F145" i="2"/>
  <c r="J145" i="2" s="1"/>
  <c r="F141" i="2"/>
  <c r="J141" i="2" s="1"/>
  <c r="F146" i="2"/>
  <c r="J146" i="2" s="1"/>
  <c r="F142" i="2"/>
  <c r="J142" i="2" s="1"/>
  <c r="F147" i="2"/>
  <c r="J147" i="2" s="1"/>
  <c r="F143" i="2"/>
  <c r="J143" i="2" s="1"/>
  <c r="F148" i="2"/>
  <c r="J148" i="2" s="1"/>
  <c r="F144" i="2"/>
  <c r="J144" i="2" s="1"/>
  <c r="F140" i="2"/>
  <c r="J140" i="2" s="1"/>
  <c r="F86" i="2"/>
  <c r="F429" i="2" s="1"/>
  <c r="F82" i="2"/>
  <c r="J82" i="2" s="1"/>
  <c r="F87" i="2"/>
  <c r="F434" i="2" s="1"/>
  <c r="F83" i="2"/>
  <c r="F88" i="2"/>
  <c r="J88" i="2" s="1"/>
  <c r="F84" i="2"/>
  <c r="F419" i="2" s="1"/>
  <c r="F80" i="2"/>
  <c r="J80" i="2" s="1"/>
  <c r="F81" i="2"/>
  <c r="J81" i="2" s="1"/>
  <c r="F85" i="2"/>
  <c r="F424" i="2" s="1"/>
  <c r="F89" i="2"/>
  <c r="J89" i="2" s="1"/>
  <c r="F123" i="2"/>
  <c r="F119" i="2"/>
  <c r="J119" i="2" s="1"/>
  <c r="F124" i="2"/>
  <c r="J124" i="2" s="1"/>
  <c r="F120" i="2"/>
  <c r="J120" i="2" s="1"/>
  <c r="F116" i="2"/>
  <c r="J116" i="2" s="1"/>
  <c r="F125" i="2"/>
  <c r="J125" i="2" s="1"/>
  <c r="F121" i="2"/>
  <c r="J121" i="2" s="1"/>
  <c r="F117" i="2"/>
  <c r="J117" i="2" s="1"/>
  <c r="F118" i="2"/>
  <c r="J118" i="2" s="1"/>
  <c r="F122" i="2"/>
  <c r="J122" i="2" s="1"/>
  <c r="F160" i="2"/>
  <c r="J160" i="2" s="1"/>
  <c r="F156" i="2"/>
  <c r="J156" i="2" s="1"/>
  <c r="F152" i="2"/>
  <c r="J152" i="2" s="1"/>
  <c r="F161" i="2"/>
  <c r="J161" i="2" s="1"/>
  <c r="F157" i="2"/>
  <c r="J157" i="2" s="1"/>
  <c r="F153" i="2"/>
  <c r="J153" i="2" s="1"/>
  <c r="F158" i="2"/>
  <c r="J158" i="2" s="1"/>
  <c r="F154" i="2"/>
  <c r="J154" i="2" s="1"/>
  <c r="F155" i="2"/>
  <c r="J155" i="2" s="1"/>
  <c r="F159" i="2"/>
  <c r="J159" i="2" s="1"/>
  <c r="D227" i="2" l="1"/>
  <c r="D225" i="2"/>
  <c r="D223" i="2"/>
  <c r="D219" i="2"/>
  <c r="D221" i="2"/>
  <c r="D217" i="2"/>
  <c r="I185" i="2"/>
  <c r="I184" i="2"/>
  <c r="I183" i="2"/>
  <c r="I186" i="2"/>
  <c r="J95" i="2"/>
  <c r="H435" i="2"/>
  <c r="H425" i="2"/>
  <c r="H430" i="2"/>
  <c r="H420" i="2"/>
  <c r="J83" i="2"/>
  <c r="H429" i="2"/>
  <c r="H419" i="2"/>
  <c r="H434" i="2"/>
  <c r="H424" i="2"/>
  <c r="F347" i="2"/>
  <c r="J123" i="2"/>
  <c r="F404" i="2"/>
  <c r="F399" i="2"/>
  <c r="F393" i="2"/>
  <c r="F388" i="2"/>
  <c r="H129" i="2"/>
  <c r="H32" i="2"/>
  <c r="J32" i="2"/>
  <c r="J37" i="2"/>
  <c r="H37" i="2"/>
  <c r="J33" i="2"/>
  <c r="H33" i="2"/>
  <c r="J41" i="2"/>
  <c r="H41" i="2"/>
  <c r="H34" i="2"/>
  <c r="J34" i="2"/>
  <c r="H36" i="2"/>
  <c r="J36" i="2"/>
  <c r="J38" i="2"/>
  <c r="H38" i="2"/>
  <c r="J35" i="2"/>
  <c r="H35" i="2"/>
  <c r="H39" i="2"/>
  <c r="J39" i="2"/>
  <c r="H40" i="2"/>
  <c r="J40" i="2"/>
  <c r="H128" i="2"/>
  <c r="H69" i="4"/>
  <c r="J69" i="4"/>
  <c r="J66" i="4"/>
  <c r="H66" i="4"/>
  <c r="H63" i="4"/>
  <c r="J63" i="4"/>
  <c r="H61" i="4"/>
  <c r="J61" i="4"/>
  <c r="J62" i="4"/>
  <c r="H62" i="4"/>
  <c r="H65" i="4"/>
  <c r="J65" i="4"/>
  <c r="J70" i="4"/>
  <c r="H70" i="4"/>
  <c r="J64" i="4"/>
  <c r="H64" i="4"/>
  <c r="H67" i="4"/>
  <c r="J67" i="4"/>
  <c r="J68" i="4"/>
  <c r="H68" i="4"/>
  <c r="J133" i="2"/>
  <c r="F333" i="2"/>
  <c r="J134" i="2"/>
  <c r="F343" i="2"/>
  <c r="F338" i="2"/>
  <c r="J58" i="2"/>
  <c r="F410" i="2"/>
  <c r="J20" i="2"/>
  <c r="J135" i="2"/>
  <c r="F348" i="2"/>
  <c r="J137" i="2"/>
  <c r="F363" i="2"/>
  <c r="F358" i="2"/>
  <c r="J59" i="2"/>
  <c r="F415" i="2"/>
  <c r="J107" i="2"/>
  <c r="F322" i="2"/>
  <c r="F317" i="2"/>
  <c r="J56" i="2"/>
  <c r="F394" i="2"/>
  <c r="F389" i="2"/>
  <c r="J113" i="2"/>
  <c r="F357" i="2"/>
  <c r="F362" i="2"/>
  <c r="J130" i="2"/>
  <c r="F313" i="2"/>
  <c r="J136" i="2"/>
  <c r="F353" i="2"/>
  <c r="F405" i="2"/>
  <c r="F400" i="2"/>
  <c r="J110" i="2"/>
  <c r="F342" i="2"/>
  <c r="F337" i="2"/>
  <c r="J132" i="2"/>
  <c r="F328" i="2"/>
  <c r="J131" i="2"/>
  <c r="F323" i="2"/>
  <c r="F318" i="2"/>
  <c r="J105" i="2"/>
  <c r="J108" i="2"/>
  <c r="J69" i="2"/>
  <c r="J72" i="2"/>
  <c r="J21" i="2"/>
  <c r="J96" i="2"/>
  <c r="J111" i="2"/>
  <c r="J109" i="2"/>
  <c r="J112" i="2"/>
  <c r="J73" i="2"/>
  <c r="J23" i="2"/>
  <c r="J22" i="2"/>
  <c r="J85" i="2"/>
  <c r="J97" i="2"/>
  <c r="J86" i="2"/>
  <c r="J99" i="2"/>
  <c r="J87" i="2"/>
  <c r="J98" i="2"/>
  <c r="J106" i="2"/>
  <c r="J70" i="2"/>
  <c r="J71" i="2"/>
  <c r="J84" i="2"/>
  <c r="J57" i="2"/>
  <c r="J68" i="2"/>
  <c r="C181" i="2"/>
  <c r="F181" i="2"/>
  <c r="J129" i="2"/>
  <c r="H133" i="2"/>
  <c r="H131" i="2"/>
  <c r="H130" i="2"/>
  <c r="D209" i="2"/>
  <c r="D195" i="2"/>
  <c r="D203" i="2"/>
  <c r="D205" i="2"/>
  <c r="D197" i="2"/>
  <c r="D211" i="2"/>
  <c r="D193" i="2"/>
  <c r="D191" i="2"/>
  <c r="D207" i="2"/>
  <c r="F179" i="2"/>
  <c r="H134" i="2"/>
  <c r="H136" i="2"/>
  <c r="H135" i="2"/>
  <c r="H132" i="2"/>
  <c r="H23" i="2"/>
  <c r="H26" i="2"/>
  <c r="H22" i="2"/>
  <c r="H21" i="2"/>
  <c r="H25" i="2"/>
  <c r="H24" i="2"/>
  <c r="H46" i="2"/>
  <c r="H29" i="2"/>
  <c r="H28" i="2"/>
  <c r="H27" i="2"/>
  <c r="H45" i="2"/>
  <c r="H49" i="2"/>
  <c r="H48" i="2"/>
  <c r="H20" i="2"/>
  <c r="H148" i="4"/>
  <c r="H104" i="4"/>
  <c r="H161" i="4"/>
  <c r="H197" i="4"/>
  <c r="H77" i="4"/>
  <c r="H74" i="4"/>
  <c r="H172" i="4"/>
  <c r="H91" i="4"/>
  <c r="H186" i="4"/>
  <c r="H135" i="4"/>
  <c r="H214" i="4"/>
  <c r="H208" i="4"/>
  <c r="H55" i="4"/>
  <c r="H115" i="4"/>
  <c r="H145" i="4"/>
  <c r="H99" i="4"/>
  <c r="H159" i="4"/>
  <c r="H165" i="4"/>
  <c r="H130" i="4"/>
  <c r="H195" i="4"/>
  <c r="H201" i="4"/>
  <c r="H75" i="4"/>
  <c r="H169" i="4"/>
  <c r="H93" i="4"/>
  <c r="H183" i="4"/>
  <c r="H189" i="4"/>
  <c r="H142" i="4"/>
  <c r="H136" i="4"/>
  <c r="H211" i="4"/>
  <c r="H212" i="4"/>
  <c r="H117" i="4"/>
  <c r="H150" i="4"/>
  <c r="H149" i="4"/>
  <c r="H97" i="4"/>
  <c r="H103" i="4"/>
  <c r="H101" i="4"/>
  <c r="H162" i="4"/>
  <c r="H166" i="4"/>
  <c r="H160" i="4"/>
  <c r="H121" i="4"/>
  <c r="H128" i="4"/>
  <c r="H198" i="4"/>
  <c r="H202" i="4"/>
  <c r="H196" i="4"/>
  <c r="H76" i="4"/>
  <c r="H79" i="4"/>
  <c r="H82" i="4"/>
  <c r="H174" i="4"/>
  <c r="H173" i="4"/>
  <c r="H92" i="4"/>
  <c r="H89" i="4"/>
  <c r="H86" i="4"/>
  <c r="H187" i="4"/>
  <c r="H190" i="4"/>
  <c r="H184" i="4"/>
  <c r="H138" i="4"/>
  <c r="H133" i="4"/>
  <c r="H140" i="4"/>
  <c r="H210" i="4"/>
  <c r="H209" i="4"/>
  <c r="H56" i="4"/>
  <c r="H53" i="4"/>
  <c r="H50" i="4"/>
  <c r="H118" i="4"/>
  <c r="H112" i="4"/>
  <c r="H154" i="4"/>
  <c r="H102" i="4"/>
  <c r="H98" i="4"/>
  <c r="H126" i="4"/>
  <c r="H122" i="4"/>
  <c r="H129" i="4"/>
  <c r="H80" i="4"/>
  <c r="H178" i="4"/>
  <c r="H88" i="4"/>
  <c r="H94" i="4"/>
  <c r="H185" i="4"/>
  <c r="H134" i="4"/>
  <c r="H141" i="4"/>
  <c r="H57" i="4"/>
  <c r="H58" i="4"/>
  <c r="H113" i="4"/>
  <c r="H151" i="4"/>
  <c r="H152" i="4"/>
  <c r="H106" i="4"/>
  <c r="H158" i="4"/>
  <c r="H123" i="4"/>
  <c r="H124" i="4"/>
  <c r="H194" i="4"/>
  <c r="H73" i="4"/>
  <c r="H78" i="4"/>
  <c r="H175" i="4"/>
  <c r="H176" i="4"/>
  <c r="H182" i="4"/>
  <c r="H205" i="4"/>
  <c r="H52" i="4"/>
  <c r="H114" i="4"/>
  <c r="H110" i="4"/>
  <c r="H147" i="4"/>
  <c r="H146" i="4"/>
  <c r="H153" i="4"/>
  <c r="H100" i="4"/>
  <c r="H105" i="4"/>
  <c r="H163" i="4"/>
  <c r="H157" i="4"/>
  <c r="H164" i="4"/>
  <c r="H127" i="4"/>
  <c r="H125" i="4"/>
  <c r="H199" i="4"/>
  <c r="H193" i="4"/>
  <c r="H200" i="4"/>
  <c r="H81" i="4"/>
  <c r="H171" i="4"/>
  <c r="H170" i="4"/>
  <c r="H177" i="4"/>
  <c r="H85" i="4"/>
  <c r="H87" i="4"/>
  <c r="H90" i="4"/>
  <c r="H181" i="4"/>
  <c r="H188" i="4"/>
  <c r="H139" i="4"/>
  <c r="H137" i="4"/>
  <c r="H207" i="4"/>
  <c r="H206" i="4"/>
  <c r="H213" i="4"/>
  <c r="H49" i="4"/>
  <c r="H51" i="4"/>
  <c r="H54" i="4"/>
  <c r="H111" i="4"/>
  <c r="H109" i="4"/>
  <c r="H116" i="4"/>
  <c r="H159" i="2"/>
  <c r="H156" i="2"/>
  <c r="H117" i="2"/>
  <c r="H89" i="2"/>
  <c r="H82" i="2"/>
  <c r="H146" i="2"/>
  <c r="H57" i="2"/>
  <c r="H50" i="2"/>
  <c r="H99" i="2"/>
  <c r="H105" i="2"/>
  <c r="H157" i="2"/>
  <c r="H124" i="2"/>
  <c r="H85" i="2"/>
  <c r="H86" i="2"/>
  <c r="H141" i="2"/>
  <c r="H61" i="2"/>
  <c r="H64" i="2"/>
  <c r="H52" i="2"/>
  <c r="H47" i="2"/>
  <c r="H96" i="2"/>
  <c r="H94" i="2"/>
  <c r="H101" i="2"/>
  <c r="H172" i="2"/>
  <c r="H111" i="2"/>
  <c r="H109" i="2"/>
  <c r="H112" i="2"/>
  <c r="H73" i="2"/>
  <c r="H76" i="2"/>
  <c r="H154" i="2"/>
  <c r="H161" i="2"/>
  <c r="H122" i="2"/>
  <c r="H125" i="2"/>
  <c r="H119" i="2"/>
  <c r="H81" i="2"/>
  <c r="H83" i="2"/>
  <c r="H140" i="2"/>
  <c r="H147" i="2"/>
  <c r="H145" i="2"/>
  <c r="H58" i="2"/>
  <c r="H65" i="2"/>
  <c r="H51" i="2"/>
  <c r="H92" i="2"/>
  <c r="H98" i="2"/>
  <c r="H170" i="2"/>
  <c r="H173" i="2"/>
  <c r="H167" i="2"/>
  <c r="H106" i="2"/>
  <c r="H113" i="2"/>
  <c r="H70" i="2"/>
  <c r="H77" i="2"/>
  <c r="H71" i="2"/>
  <c r="H153" i="2"/>
  <c r="H120" i="2"/>
  <c r="H84" i="2"/>
  <c r="H148" i="2"/>
  <c r="H63" i="2"/>
  <c r="H60" i="2"/>
  <c r="H100" i="2"/>
  <c r="H97" i="2"/>
  <c r="H165" i="2"/>
  <c r="H168" i="2"/>
  <c r="H107" i="2"/>
  <c r="H108" i="2"/>
  <c r="H69" i="2"/>
  <c r="H72" i="2"/>
  <c r="H155" i="2"/>
  <c r="H160" i="2"/>
  <c r="H121" i="2"/>
  <c r="H88" i="2"/>
  <c r="H143" i="2"/>
  <c r="H59" i="2"/>
  <c r="H169" i="2"/>
  <c r="H158" i="2"/>
  <c r="H152" i="2"/>
  <c r="H118" i="2"/>
  <c r="H116" i="2"/>
  <c r="H123" i="2"/>
  <c r="H80" i="2"/>
  <c r="H87" i="2"/>
  <c r="H144" i="2"/>
  <c r="H142" i="2"/>
  <c r="H149" i="2"/>
  <c r="H62" i="2"/>
  <c r="H56" i="2"/>
  <c r="H44" i="2"/>
  <c r="H53" i="2"/>
  <c r="H95" i="2"/>
  <c r="H93" i="2"/>
  <c r="H166" i="2"/>
  <c r="H164" i="2"/>
  <c r="H171" i="2"/>
  <c r="H110" i="2"/>
  <c r="H104" i="2"/>
  <c r="H74" i="2"/>
  <c r="H68" i="2"/>
  <c r="H75" i="2"/>
  <c r="F226" i="2" l="1"/>
  <c r="C226" i="2"/>
  <c r="F228" i="2"/>
  <c r="C228" i="2"/>
  <c r="C218" i="2"/>
  <c r="F218" i="2"/>
  <c r="F208" i="2"/>
  <c r="C208" i="2"/>
  <c r="F198" i="2"/>
  <c r="C198" i="2"/>
  <c r="F210" i="2"/>
  <c r="C210" i="2"/>
  <c r="C222" i="2"/>
  <c r="F222" i="2"/>
  <c r="C192" i="2"/>
  <c r="F192" i="2"/>
  <c r="F206" i="2"/>
  <c r="C206" i="2"/>
  <c r="C220" i="2"/>
  <c r="F220" i="2"/>
  <c r="C212" i="2"/>
  <c r="F212" i="2"/>
  <c r="C196" i="2"/>
  <c r="F196" i="2"/>
  <c r="F194" i="2"/>
  <c r="C194" i="2"/>
  <c r="F204" i="2"/>
  <c r="C204" i="2"/>
  <c r="F224" i="2"/>
  <c r="C224" i="2"/>
  <c r="H362" i="2"/>
  <c r="H352" i="2"/>
  <c r="H342" i="2"/>
  <c r="H332" i="2"/>
  <c r="H357" i="2"/>
  <c r="H347" i="2"/>
  <c r="H337" i="2"/>
  <c r="H327" i="2"/>
  <c r="H363" i="2"/>
  <c r="H353" i="2"/>
  <c r="H343" i="2"/>
  <c r="H333" i="2"/>
  <c r="H358" i="2"/>
  <c r="H348" i="2"/>
  <c r="H338" i="2"/>
  <c r="H328" i="2"/>
</calcChain>
</file>

<file path=xl/sharedStrings.xml><?xml version="1.0" encoding="utf-8"?>
<sst xmlns="http://schemas.openxmlformats.org/spreadsheetml/2006/main" count="2159" uniqueCount="261">
  <si>
    <t>s</t>
    <phoneticPr fontId="1" type="noConversion"/>
  </si>
  <si>
    <t>min</t>
    <phoneticPr fontId="1" type="noConversion"/>
  </si>
  <si>
    <t>Near 100% VO2max</t>
    <phoneticPr fontId="1" type="noConversion"/>
  </si>
  <si>
    <t>90 to 100% VO2max</t>
    <phoneticPr fontId="1" type="noConversion"/>
  </si>
  <si>
    <t>75 to 85% VO2max</t>
    <phoneticPr fontId="1" type="noConversion"/>
  </si>
  <si>
    <t>At</t>
    <phoneticPr fontId="1" type="noConversion"/>
  </si>
  <si>
    <t>% VO2max speed, or</t>
    <phoneticPr fontId="1" type="noConversion"/>
  </si>
  <si>
    <t>m/s,</t>
    <phoneticPr fontId="1" type="noConversion"/>
  </si>
  <si>
    <t xml:space="preserve">Time to run </t>
    <phoneticPr fontId="1" type="noConversion"/>
  </si>
  <si>
    <t>m =</t>
    <phoneticPr fontId="1" type="noConversion"/>
  </si>
  <si>
    <t>s, or</t>
    <phoneticPr fontId="1" type="noConversion"/>
  </si>
  <si>
    <t>6-minute Run</t>
    <phoneticPr fontId="1" type="noConversion"/>
  </si>
  <si>
    <t>Distance covered in 6 minutes =</t>
    <phoneticPr fontId="1" type="noConversion"/>
  </si>
  <si>
    <t>m</t>
    <phoneticPr fontId="1" type="noConversion"/>
  </si>
  <si>
    <t>m/s</t>
    <phoneticPr fontId="1" type="noConversion"/>
  </si>
  <si>
    <t>Rationales:</t>
    <phoneticPr fontId="1" type="noConversion"/>
  </si>
  <si>
    <t>Field test for VO2max Speed:</t>
    <phoneticPr fontId="1" type="noConversion"/>
  </si>
  <si>
    <t>or</t>
    <phoneticPr fontId="1" type="noConversion"/>
  </si>
  <si>
    <t>3000-m Time Trial</t>
    <phoneticPr fontId="1" type="noConversion"/>
  </si>
  <si>
    <t>Optional test for V4 Speed:</t>
    <phoneticPr fontId="1" type="noConversion"/>
  </si>
  <si>
    <t>Time to finish 3000 m =</t>
    <phoneticPr fontId="1" type="noConversion"/>
  </si>
  <si>
    <t>%</t>
    <phoneticPr fontId="1" type="noConversion"/>
  </si>
  <si>
    <t>Km/h</t>
    <phoneticPr fontId="1" type="noConversion"/>
  </si>
  <si>
    <t>1,500 m, 1 mile (1,609 m), 2K (2,000 m) =</t>
    <phoneticPr fontId="1" type="noConversion"/>
  </si>
  <si>
    <t>3K (3,000 m), 5K (5,000 m) =</t>
    <phoneticPr fontId="1" type="noConversion"/>
  </si>
  <si>
    <t>10K (10,000 m), 15K (15,000 m) =</t>
    <phoneticPr fontId="1" type="noConversion"/>
  </si>
  <si>
    <t>Marathon (42,195 m) =</t>
    <phoneticPr fontId="1" type="noConversion"/>
  </si>
  <si>
    <t>1. Percent VO2max speed of different running events:</t>
    <phoneticPr fontId="1" type="noConversion"/>
  </si>
  <si>
    <t xml:space="preserve">     (All speeds measured in Km/h)</t>
    <phoneticPr fontId="1" type="noConversion"/>
  </si>
  <si>
    <t>Percent VO2max at V4 Speed =</t>
    <phoneticPr fontId="1" type="noConversion"/>
  </si>
  <si>
    <t xml:space="preserve">Billat &amp; Koralsztein (1996). </t>
    <phoneticPr fontId="1" type="noConversion"/>
  </si>
  <si>
    <t>Significance of the velocity at VO2max and the time to exhaustion at this velocity.</t>
  </si>
  <si>
    <t>Sports Medicine, 22(2), pp 90-108.</t>
    <phoneticPr fontId="1" type="noConversion"/>
  </si>
  <si>
    <t>Bragada, J. A., Santos, P. J., Maia, J. A., Colaco, P. J., Lopes, V. P. &amp; Barbosa, T. M. (2010)</t>
    <phoneticPr fontId="1" type="noConversion"/>
  </si>
  <si>
    <t xml:space="preserve">Longitudinal study in 3,000 male runners; relationship between performance and selected </t>
    <phoneticPr fontId="1" type="noConversion"/>
  </si>
  <si>
    <t>physiological parameters.</t>
    <phoneticPr fontId="1" type="noConversion"/>
  </si>
  <si>
    <t>Journal of Sports Science and Medicine, 9, pp 439-444.</t>
    <phoneticPr fontId="1" type="noConversion"/>
  </si>
  <si>
    <t>Denadai, B. S., Ortiz, M. J., Greco, C. C. &amp; de Mello, M. T. (2006).</t>
    <phoneticPr fontId="1" type="noConversion"/>
  </si>
  <si>
    <t>Interval training at 95% and 100% of the velocity at VO2max: effect on aerobic physiological</t>
    <phoneticPr fontId="1" type="noConversion"/>
  </si>
  <si>
    <t>indexes and running performance.</t>
    <phoneticPr fontId="1" type="noConversion"/>
  </si>
  <si>
    <t>Applied Physiology, Nutrition and Metabolism, 31, pp. 737-743.</t>
    <phoneticPr fontId="1" type="noConversion"/>
  </si>
  <si>
    <t>Joyner, M. J. &amp; Coyle, E. F. (2008).</t>
    <phoneticPr fontId="1" type="noConversion"/>
  </si>
  <si>
    <t>Endurance exercise performance: the physiology of champions.</t>
    <phoneticPr fontId="1" type="noConversion"/>
  </si>
  <si>
    <t>Journal of Physiology, 586(1), pp. 35-44.</t>
    <phoneticPr fontId="1" type="noConversion"/>
  </si>
  <si>
    <t>References</t>
    <phoneticPr fontId="1" type="noConversion"/>
  </si>
  <si>
    <t>100 to 115% VO2max</t>
    <phoneticPr fontId="1" type="noConversion"/>
  </si>
  <si>
    <t>2. The average value of time limit at 100% vVO2max is close to 6 minutes.</t>
    <phoneticPr fontId="1" type="noConversion"/>
  </si>
  <si>
    <t>3. Predicted 3000 m Speed = 0.646 + 0.626 x V4 Speed + 0.416 x vVO2max Speed</t>
    <phoneticPr fontId="1" type="noConversion"/>
  </si>
  <si>
    <t>Average speed =</t>
    <phoneticPr fontId="1" type="noConversion"/>
  </si>
  <si>
    <t>Wong-Sir's Running Formulae</t>
    <phoneticPr fontId="1" type="noConversion"/>
  </si>
  <si>
    <t>Height:</t>
    <phoneticPr fontId="1" type="noConversion"/>
  </si>
  <si>
    <t>Weight:</t>
    <phoneticPr fontId="1" type="noConversion"/>
  </si>
  <si>
    <t>cm</t>
    <phoneticPr fontId="1" type="noConversion"/>
  </si>
  <si>
    <t>Kg</t>
    <phoneticPr fontId="1" type="noConversion"/>
  </si>
  <si>
    <t>BMI =</t>
    <phoneticPr fontId="1" type="noConversion"/>
  </si>
  <si>
    <t>Age:</t>
    <phoneticPr fontId="1" type="noConversion"/>
  </si>
  <si>
    <t>HRrest:</t>
    <phoneticPr fontId="1" type="noConversion"/>
  </si>
  <si>
    <t>b.p.m.</t>
    <phoneticPr fontId="1" type="noConversion"/>
  </si>
  <si>
    <t>ml/kg/min</t>
    <phoneticPr fontId="1" type="noConversion"/>
  </si>
  <si>
    <t>Est. VO2max =</t>
    <phoneticPr fontId="1" type="noConversion"/>
  </si>
  <si>
    <t>HRmax =</t>
    <phoneticPr fontId="1" type="noConversion"/>
  </si>
  <si>
    <t>(Billat &amp; Koralsztein, 1996; Bragada, et al., 2010; Denadai, et al., 2006; Joyer &amp; Coyle, 2008; Uth et al., 2004)</t>
    <phoneticPr fontId="1" type="noConversion"/>
  </si>
  <si>
    <t>4. Mass-specific VO2max = 15*(HRmax/HRrest)</t>
    <phoneticPr fontId="1" type="noConversion"/>
  </si>
  <si>
    <t>Uth, N., Sorensen, H., Overgaard, K., and Pedersen, P.K. (2004).</t>
    <phoneticPr fontId="1" type="noConversion"/>
  </si>
  <si>
    <t>Estimation of VO2max from the ratio between HRmax and HRrest - the Heart Rate Ratio Method</t>
    <phoneticPr fontId="1" type="noConversion"/>
  </si>
  <si>
    <t>European Journal of Applied Physiology, 91, pp. 111-115</t>
    <phoneticPr fontId="1" type="noConversion"/>
  </si>
  <si>
    <t>Enter your own data in the boxes below:</t>
    <phoneticPr fontId="1" type="noConversion"/>
  </si>
  <si>
    <t xml:space="preserve">     (in ml/kg/min)</t>
    <phoneticPr fontId="1" type="noConversion"/>
  </si>
  <si>
    <t>Est. V4 (i.e., lactate threshold) Speed =</t>
    <phoneticPr fontId="1" type="noConversion"/>
  </si>
  <si>
    <t>Est. Speed at 100% VO2max =</t>
    <phoneticPr fontId="1" type="noConversion"/>
  </si>
  <si>
    <t>Km/h</t>
    <phoneticPr fontId="1" type="noConversion"/>
  </si>
  <si>
    <t>Personal Information:</t>
    <phoneticPr fontId="1" type="noConversion"/>
  </si>
  <si>
    <t>Enter your own result in the box below:</t>
    <phoneticPr fontId="1" type="noConversion"/>
  </si>
  <si>
    <t>Enter your own result in the boxes below:</t>
    <phoneticPr fontId="1" type="noConversion"/>
  </si>
  <si>
    <t>Field test for V4 Speed:</t>
    <phoneticPr fontId="1" type="noConversion"/>
  </si>
  <si>
    <t>Continuous Runs</t>
    <phoneticPr fontId="1" type="noConversion"/>
  </si>
  <si>
    <t>Recovery Run</t>
    <phoneticPr fontId="1" type="noConversion"/>
  </si>
  <si>
    <t>-</t>
    <phoneticPr fontId="1" type="noConversion"/>
  </si>
  <si>
    <t>&gt; 20K</t>
    <phoneticPr fontId="1" type="noConversion"/>
  </si>
  <si>
    <t>/400 m</t>
    <phoneticPr fontId="1" type="noConversion"/>
  </si>
  <si>
    <t>/K         or</t>
    <phoneticPr fontId="1" type="noConversion"/>
  </si>
  <si>
    <t>% vVO2max</t>
    <phoneticPr fontId="1" type="noConversion"/>
  </si>
  <si>
    <t>5% below:</t>
    <phoneticPr fontId="1" type="noConversion"/>
  </si>
  <si>
    <t>10% below:</t>
    <phoneticPr fontId="1" type="noConversion"/>
  </si>
  <si>
    <t>Examples:</t>
    <phoneticPr fontId="1" type="noConversion"/>
  </si>
  <si>
    <t>2.5% below:</t>
    <phoneticPr fontId="1" type="noConversion"/>
  </si>
  <si>
    <t>7.5% below:</t>
    <phoneticPr fontId="1" type="noConversion"/>
  </si>
  <si>
    <t>16-20K</t>
    <phoneticPr fontId="1" type="noConversion"/>
  </si>
  <si>
    <t>At or slightly above lactate threshold speed</t>
    <phoneticPr fontId="1" type="noConversion"/>
  </si>
  <si>
    <t>2.5% above:</t>
    <phoneticPr fontId="1" type="noConversion"/>
  </si>
  <si>
    <t>5% above:</t>
    <phoneticPr fontId="1" type="noConversion"/>
  </si>
  <si>
    <t>7.5% above:</t>
    <phoneticPr fontId="1" type="noConversion"/>
  </si>
  <si>
    <t>10% above:</t>
    <phoneticPr fontId="1" type="noConversion"/>
  </si>
  <si>
    <t>11-15K</t>
    <phoneticPr fontId="1" type="noConversion"/>
  </si>
  <si>
    <t>6-10K</t>
    <phoneticPr fontId="1" type="noConversion"/>
  </si>
  <si>
    <t>3-5K</t>
    <phoneticPr fontId="1" type="noConversion"/>
  </si>
  <si>
    <t>Interval Runs</t>
    <phoneticPr fontId="1" type="noConversion"/>
  </si>
  <si>
    <t>To Improve vVO2max</t>
    <phoneticPr fontId="1" type="noConversion"/>
  </si>
  <si>
    <t xml:space="preserve">Important for all middle and long distance running events, and </t>
    <phoneticPr fontId="1" type="noConversion"/>
  </si>
  <si>
    <t>Example 1:</t>
    <phoneticPr fontId="1" type="noConversion"/>
  </si>
  <si>
    <t>Example 2:</t>
    <phoneticPr fontId="1" type="noConversion"/>
  </si>
  <si>
    <t>(3 to 4K fast run)</t>
    <phoneticPr fontId="1" type="noConversion"/>
  </si>
  <si>
    <t>Example 3:</t>
    <phoneticPr fontId="1" type="noConversion"/>
  </si>
  <si>
    <t>Example 4:</t>
    <phoneticPr fontId="1" type="noConversion"/>
  </si>
  <si>
    <t>(3.2 to 4K fast run)</t>
    <phoneticPr fontId="1" type="noConversion"/>
  </si>
  <si>
    <t>Example 5:</t>
    <phoneticPr fontId="1" type="noConversion"/>
  </si>
  <si>
    <t>(3 to 4.2K fast run)</t>
    <phoneticPr fontId="1" type="noConversion"/>
  </si>
  <si>
    <t>Example 6:</t>
    <phoneticPr fontId="1" type="noConversion"/>
  </si>
  <si>
    <t>Remarks:</t>
    <phoneticPr fontId="1" type="noConversion"/>
  </si>
  <si>
    <t>To use 1000 intervals to develop vVO2max, the runner must be able</t>
    <phoneticPr fontId="1" type="noConversion"/>
  </si>
  <si>
    <t xml:space="preserve">to complete almost 2000 m in the 6-min time trial (i.e., 6:00/2K </t>
    <phoneticPr fontId="1" type="noConversion"/>
  </si>
  <si>
    <t xml:space="preserve">or 3:00/K), and this will correspond to a 5000 m performance of </t>
    <phoneticPr fontId="1" type="noConversion"/>
  </si>
  <si>
    <t>To improve Lactate Threshold Speed</t>
    <phoneticPr fontId="1" type="noConversion"/>
  </si>
  <si>
    <t>year.</t>
    <phoneticPr fontId="1" type="noConversion"/>
  </si>
  <si>
    <t xml:space="preserve">vVO2max training can also improve lactate threshold speed at the </t>
    <phoneticPr fontId="1" type="noConversion"/>
  </si>
  <si>
    <t>threshold speed.</t>
    <phoneticPr fontId="1" type="noConversion"/>
  </si>
  <si>
    <t>(4 to 5K fast run + 4 to 5K slow run, total 8 to 10K)</t>
    <phoneticPr fontId="1" type="noConversion"/>
  </si>
  <si>
    <t>(6 to 7.5K fast run + 2 to 2.5K slow run, total 8 to 10K)</t>
    <phoneticPr fontId="1" type="noConversion"/>
  </si>
  <si>
    <t>(6 to 8K fast run)</t>
    <phoneticPr fontId="1" type="noConversion"/>
  </si>
  <si>
    <t>each</t>
    <phoneticPr fontId="1" type="noConversion"/>
  </si>
  <si>
    <t>(6 to 8K fast run + 3 to 4K slow run, total 9 to 12K)</t>
    <phoneticPr fontId="1" type="noConversion"/>
  </si>
  <si>
    <t>(6 to 9K fast run + 2 to 3K slow run, total 8 to 12K)</t>
    <phoneticPr fontId="1" type="noConversion"/>
  </si>
  <si>
    <t>(8 to 12K fast run)</t>
    <phoneticPr fontId="1" type="noConversion"/>
  </si>
  <si>
    <t>Example 7:</t>
    <phoneticPr fontId="1" type="noConversion"/>
  </si>
  <si>
    <t>Example 8:</t>
    <phoneticPr fontId="1" type="noConversion"/>
  </si>
  <si>
    <t>(6 to 10K fast run + 1.2 to 2K slow run, total 7.2 to 12K)</t>
    <phoneticPr fontId="1" type="noConversion"/>
  </si>
  <si>
    <t>Example 9:</t>
    <phoneticPr fontId="1" type="noConversion"/>
  </si>
  <si>
    <t>(7.2 to 12K fast run)</t>
    <phoneticPr fontId="1" type="noConversion"/>
  </si>
  <si>
    <t>Example 10:</t>
    <phoneticPr fontId="1" type="noConversion"/>
  </si>
  <si>
    <t>(8 to 12.8K fast run)</t>
    <phoneticPr fontId="1" type="noConversion"/>
  </si>
  <si>
    <t>Example 11:</t>
    <phoneticPr fontId="1" type="noConversion"/>
  </si>
  <si>
    <t>Example 12:</t>
    <phoneticPr fontId="1" type="noConversion"/>
  </si>
  <si>
    <t>To improve Speed and Speed Endurance</t>
    <phoneticPr fontId="1" type="noConversion"/>
  </si>
  <si>
    <t>Important for the "final kick" and running strategies.</t>
    <phoneticPr fontId="1" type="noConversion"/>
  </si>
  <si>
    <t>Better basic speed makes running easier at race pace (better reserve</t>
    <phoneticPr fontId="1" type="noConversion"/>
  </si>
  <si>
    <t>of speed.</t>
    <phoneticPr fontId="1" type="noConversion"/>
  </si>
  <si>
    <t>-  Half-marathon and marathon runners need good 10K speed</t>
    <phoneticPr fontId="1" type="noConversion"/>
  </si>
  <si>
    <t>-  10K runners need good 3K and 5K speed</t>
    <phoneticPr fontId="1" type="noConversion"/>
  </si>
  <si>
    <t>-  3K and 5K runners need good 1500 m speed</t>
    <phoneticPr fontId="1" type="noConversion"/>
  </si>
  <si>
    <t>-  1500 m runners and milers need good 400 m and 800 m speed</t>
    <phoneticPr fontId="1" type="noConversion"/>
  </si>
  <si>
    <t>-  800 m runners need good 200 m and 400 m speed</t>
    <phoneticPr fontId="1" type="noConversion"/>
  </si>
  <si>
    <t>Better speed endurance enables speed to be sustained longer.</t>
    <phoneticPr fontId="1" type="noConversion"/>
  </si>
  <si>
    <t>are also necessary.</t>
    <phoneticPr fontId="1" type="noConversion"/>
  </si>
  <si>
    <t>-  Longer rest interval for faster speeds or longer work distances.</t>
    <phoneticPr fontId="1" type="noConversion"/>
  </si>
  <si>
    <t>(2 to 3K fast run + 2 to 3K slow run, total 4 to 6K)</t>
    <phoneticPr fontId="1" type="noConversion"/>
  </si>
  <si>
    <t>(2 to 2.5K fast run + 2 to 2.5K slow run, total 4 to 5K)</t>
    <phoneticPr fontId="1" type="noConversion"/>
  </si>
  <si>
    <t>rest 3:00-4:00 between sets.</t>
    <phoneticPr fontId="1" type="noConversion"/>
  </si>
  <si>
    <t>jog 3:00 between each.</t>
    <phoneticPr fontId="1" type="noConversion"/>
  </si>
  <si>
    <t>jog 2:30 between each.</t>
    <phoneticPr fontId="1" type="noConversion"/>
  </si>
  <si>
    <t>jog 1:30 between each.</t>
    <phoneticPr fontId="1" type="noConversion"/>
  </si>
  <si>
    <t>jog 1:15 between each.</t>
    <phoneticPr fontId="1" type="noConversion"/>
  </si>
  <si>
    <t>jog 45 s between each.</t>
    <phoneticPr fontId="1" type="noConversion"/>
  </si>
  <si>
    <t>(3.2 to 4K fast run + 1.6 to 2K slow run, total 4.8 to 6K)</t>
    <phoneticPr fontId="1" type="noConversion"/>
  </si>
  <si>
    <t>(3 to 4K fast run + 1.5 to 2K slow run, total 4.5 to 6K)</t>
    <phoneticPr fontId="1" type="noConversion"/>
  </si>
  <si>
    <t>(3.6 to 4.5K fast run + 1.1 to 1.5K slow run, total 4.8 to 6K)</t>
    <phoneticPr fontId="1" type="noConversion"/>
  </si>
  <si>
    <t>(3.6 to 4.8K fast run + 1.2 to 1.6K slow run, total 4.8 to 6.4K)</t>
    <phoneticPr fontId="1" type="noConversion"/>
  </si>
  <si>
    <t>(4 to 4.8K fast run + 1 to 1.2K slow run, total 5 to 6K)</t>
    <phoneticPr fontId="1" type="noConversion"/>
  </si>
  <si>
    <t>(4 to 5K fast run + 0.8 to 1K slow run, total 4.8 to 6K)</t>
    <phoneticPr fontId="1" type="noConversion"/>
  </si>
  <si>
    <t>(3.6 to 4.8K fast run + 0.6 to 0.8K slow run, total 4.2 to 5.6K)</t>
    <phoneticPr fontId="1" type="noConversion"/>
  </si>
  <si>
    <t>To improve Maximal Speed</t>
    <phoneticPr fontId="1" type="noConversion"/>
  </si>
  <si>
    <t>exercises to improve muscular power.</t>
    <phoneticPr fontId="1" type="noConversion"/>
  </si>
  <si>
    <t>To improve Running Economy</t>
    <phoneticPr fontId="1" type="noConversion"/>
  </si>
  <si>
    <t>Use correct running techniques which follow mechanical principles.</t>
    <phoneticPr fontId="1" type="noConversion"/>
  </si>
  <si>
    <t xml:space="preserve">Use speed training to facilitate and improve neuromuscular </t>
    <phoneticPr fontId="1" type="noConversion"/>
  </si>
  <si>
    <t>coordination.</t>
    <phoneticPr fontId="1" type="noConversion"/>
  </si>
  <si>
    <t>Wear light-weight running shoes and proper clothings.</t>
    <phoneticPr fontId="1" type="noConversion"/>
  </si>
  <si>
    <t>Proper race strategies (e.g., hide behind opponents when running)</t>
    <phoneticPr fontId="1" type="noConversion"/>
  </si>
  <si>
    <t>to reduce wind resistance.</t>
    <phoneticPr fontId="1" type="noConversion"/>
  </si>
  <si>
    <t>Develop maximal speed only after basic speed has been improved</t>
    <phoneticPr fontId="1" type="noConversion"/>
  </si>
  <si>
    <t xml:space="preserve">and better muscular fitness (strength and endurance) has been </t>
    <phoneticPr fontId="1" type="noConversion"/>
  </si>
  <si>
    <t>achieved to avoid injuries.</t>
    <phoneticPr fontId="1" type="noConversion"/>
  </si>
  <si>
    <t xml:space="preserve">jog 20-25 s between each, </t>
    <phoneticPr fontId="1" type="noConversion"/>
  </si>
  <si>
    <t>rest 3:00-4:00 between sets.</t>
  </si>
  <si>
    <r>
      <t>Should cover</t>
    </r>
    <r>
      <rPr>
        <b/>
        <sz val="16"/>
        <color rgb="FFFF0000"/>
        <rFont val="Calibri"/>
        <family val="2"/>
      </rPr>
      <t xml:space="preserve"> 3-4 K</t>
    </r>
    <r>
      <rPr>
        <sz val="16"/>
        <color theme="1"/>
        <rFont val="Calibri"/>
        <family val="2"/>
      </rPr>
      <t xml:space="preserve"> fast runs.</t>
    </r>
    <phoneticPr fontId="1" type="noConversion"/>
  </si>
  <si>
    <r>
      <t xml:space="preserve">Around </t>
    </r>
    <r>
      <rPr>
        <b/>
        <sz val="16"/>
        <color rgb="FFFF0000"/>
        <rFont val="Calibri"/>
        <family val="2"/>
      </rPr>
      <t>1:1</t>
    </r>
    <r>
      <rPr>
        <sz val="16"/>
        <color rgb="FFFF0000"/>
        <rFont val="Calibri"/>
        <family val="2"/>
      </rPr>
      <t xml:space="preserve"> </t>
    </r>
    <r>
      <rPr>
        <sz val="16"/>
        <color theme="1"/>
        <rFont val="Calibri"/>
        <family val="2"/>
      </rPr>
      <t>work-rest ratio.</t>
    </r>
    <phoneticPr fontId="1" type="noConversion"/>
  </si>
  <si>
    <r>
      <t xml:space="preserve">particularly important for </t>
    </r>
    <r>
      <rPr>
        <b/>
        <sz val="16"/>
        <color rgb="FF006600"/>
        <rFont val="Calibri"/>
        <family val="2"/>
      </rPr>
      <t>1500 m</t>
    </r>
    <r>
      <rPr>
        <sz val="16"/>
        <color theme="1"/>
        <rFont val="Calibri"/>
        <family val="2"/>
      </rPr>
      <t xml:space="preserve">, </t>
    </r>
    <r>
      <rPr>
        <b/>
        <sz val="16"/>
        <color rgb="FF006600"/>
        <rFont val="Calibri"/>
        <family val="2"/>
      </rPr>
      <t>1 mile</t>
    </r>
    <r>
      <rPr>
        <sz val="16"/>
        <color theme="1"/>
        <rFont val="Calibri"/>
        <family val="2"/>
      </rPr>
      <t xml:space="preserve">, and </t>
    </r>
    <r>
      <rPr>
        <b/>
        <sz val="16"/>
        <color rgb="FF006600"/>
        <rFont val="Calibri"/>
        <family val="2"/>
      </rPr>
      <t>2000 m</t>
    </r>
    <r>
      <rPr>
        <sz val="16"/>
        <color theme="1"/>
        <rFont val="Calibri"/>
        <family val="2"/>
      </rPr>
      <t xml:space="preserve"> runners.</t>
    </r>
    <phoneticPr fontId="1" type="noConversion"/>
  </si>
  <si>
    <r>
      <t xml:space="preserve">Important for </t>
    </r>
    <r>
      <rPr>
        <b/>
        <sz val="16"/>
        <color rgb="FF006600"/>
        <rFont val="Calibri"/>
        <family val="2"/>
      </rPr>
      <t>3K or longer</t>
    </r>
    <r>
      <rPr>
        <sz val="16"/>
        <color theme="1"/>
        <rFont val="Calibri"/>
        <family val="2"/>
      </rPr>
      <t xml:space="preserve"> distances.</t>
    </r>
    <phoneticPr fontId="1" type="noConversion"/>
  </si>
  <si>
    <r>
      <t xml:space="preserve">Particularly important for </t>
    </r>
    <r>
      <rPr>
        <b/>
        <sz val="16"/>
        <color rgb="FF006600"/>
        <rFont val="Calibri"/>
        <family val="2"/>
      </rPr>
      <t>master</t>
    </r>
    <r>
      <rPr>
        <sz val="16"/>
        <color theme="1"/>
        <rFont val="Calibri"/>
        <family val="2"/>
      </rPr>
      <t xml:space="preserve"> runners because VO2max drops</t>
    </r>
    <phoneticPr fontId="1" type="noConversion"/>
  </si>
  <si>
    <t xml:space="preserve">with age due to HRmax decreases approximately 1 beat/min each </t>
    <phoneticPr fontId="1" type="noConversion"/>
  </si>
  <si>
    <r>
      <t xml:space="preserve">same time, and is particularly important for </t>
    </r>
    <r>
      <rPr>
        <b/>
        <sz val="16"/>
        <color rgb="FF006600"/>
        <rFont val="Calibri"/>
        <family val="2"/>
      </rPr>
      <t>3K</t>
    </r>
    <r>
      <rPr>
        <sz val="16"/>
        <color theme="1"/>
        <rFont val="Calibri"/>
        <family val="2"/>
      </rPr>
      <t xml:space="preserve">, </t>
    </r>
    <r>
      <rPr>
        <b/>
        <sz val="16"/>
        <color rgb="FF006600"/>
        <rFont val="Calibri"/>
        <family val="2"/>
      </rPr>
      <t>5K</t>
    </r>
    <r>
      <rPr>
        <sz val="16"/>
        <color theme="1"/>
        <rFont val="Calibri"/>
        <family val="2"/>
      </rPr>
      <t>, and world class</t>
    </r>
    <phoneticPr fontId="1" type="noConversion"/>
  </si>
  <si>
    <r>
      <rPr>
        <b/>
        <sz val="16"/>
        <color rgb="FF006600"/>
        <rFont val="Calibri"/>
        <family val="2"/>
      </rPr>
      <t>10K</t>
    </r>
    <r>
      <rPr>
        <sz val="16"/>
        <color theme="1"/>
        <rFont val="Calibri"/>
        <family val="2"/>
      </rPr>
      <t xml:space="preserve"> performances.</t>
    </r>
    <phoneticPr fontId="1" type="noConversion"/>
  </si>
  <si>
    <r>
      <t xml:space="preserve">Long continuous run of </t>
    </r>
    <r>
      <rPr>
        <b/>
        <sz val="16"/>
        <color rgb="FFFF0000"/>
        <rFont val="Calibri"/>
        <family val="2"/>
      </rPr>
      <t>10-15K</t>
    </r>
    <r>
      <rPr>
        <sz val="16"/>
        <color theme="1"/>
        <rFont val="Calibri"/>
        <family val="2"/>
      </rPr>
      <t xml:space="preserve"> conducted </t>
    </r>
    <r>
      <rPr>
        <b/>
        <sz val="16"/>
        <color rgb="FF000099"/>
        <rFont val="Calibri"/>
        <family val="2"/>
      </rPr>
      <t>slightly above</t>
    </r>
    <r>
      <rPr>
        <sz val="16"/>
        <color theme="1"/>
        <rFont val="Calibri"/>
        <family val="2"/>
      </rPr>
      <t xml:space="preserve"> lactate</t>
    </r>
    <phoneticPr fontId="1" type="noConversion"/>
  </si>
  <si>
    <r>
      <t xml:space="preserve">Besides vVO2max training, training at speeds </t>
    </r>
    <r>
      <rPr>
        <b/>
        <sz val="16"/>
        <color rgb="FF000099"/>
        <rFont val="Calibri"/>
        <family val="2"/>
      </rPr>
      <t xml:space="preserve">slightly slower </t>
    </r>
    <r>
      <rPr>
        <sz val="16"/>
        <color theme="1"/>
        <rFont val="Calibri"/>
        <family val="2"/>
      </rPr>
      <t>and</t>
    </r>
    <phoneticPr fontId="1" type="noConversion"/>
  </si>
  <si>
    <r>
      <t xml:space="preserve">Up to </t>
    </r>
    <r>
      <rPr>
        <b/>
        <sz val="16"/>
        <color rgb="FFFF0000"/>
        <rFont val="Calibri"/>
        <family val="2"/>
      </rPr>
      <t>1:2</t>
    </r>
    <r>
      <rPr>
        <sz val="16"/>
        <color theme="1"/>
        <rFont val="Calibri"/>
        <family val="2"/>
      </rPr>
      <t xml:space="preserve"> to </t>
    </r>
    <r>
      <rPr>
        <b/>
        <sz val="16"/>
        <color rgb="FFFF0000"/>
        <rFont val="Calibri"/>
        <family val="2"/>
      </rPr>
      <t>1:3</t>
    </r>
    <r>
      <rPr>
        <sz val="16"/>
        <color theme="1"/>
        <rFont val="Calibri"/>
        <family val="2"/>
      </rPr>
      <t xml:space="preserve"> work-rest ratio can be used.</t>
    </r>
    <phoneticPr fontId="1" type="noConversion"/>
  </si>
  <si>
    <r>
      <t xml:space="preserve">2 sets of 10-15 x </t>
    </r>
    <r>
      <rPr>
        <b/>
        <sz val="16"/>
        <color rgb="FFC00000"/>
        <rFont val="Calibri"/>
        <family val="2"/>
      </rPr>
      <t>100 m</t>
    </r>
    <r>
      <rPr>
        <sz val="16"/>
        <color theme="1"/>
        <rFont val="Calibri"/>
        <family val="2"/>
      </rPr>
      <t xml:space="preserve">, jog </t>
    </r>
    <r>
      <rPr>
        <b/>
        <sz val="16"/>
        <color rgb="FF006600"/>
        <rFont val="Calibri"/>
        <family val="2"/>
      </rPr>
      <t>100 m</t>
    </r>
    <r>
      <rPr>
        <sz val="16"/>
        <color theme="1"/>
        <rFont val="Calibri"/>
        <family val="2"/>
      </rPr>
      <t xml:space="preserve"> in 45-60 s between each,</t>
    </r>
    <phoneticPr fontId="1" type="noConversion"/>
  </si>
  <si>
    <r>
      <t xml:space="preserve">20-25 x </t>
    </r>
    <r>
      <rPr>
        <b/>
        <sz val="16"/>
        <color rgb="FFC00000"/>
        <rFont val="Calibri"/>
        <family val="2"/>
      </rPr>
      <t>100 m</t>
    </r>
    <r>
      <rPr>
        <sz val="16"/>
        <color theme="1"/>
        <rFont val="Calibri"/>
        <family val="2"/>
      </rPr>
      <t xml:space="preserve">, jog </t>
    </r>
    <r>
      <rPr>
        <b/>
        <sz val="16"/>
        <color rgb="FF006600"/>
        <rFont val="Calibri"/>
        <family val="2"/>
      </rPr>
      <t>100 m</t>
    </r>
    <r>
      <rPr>
        <sz val="16"/>
        <color theme="1"/>
        <rFont val="Calibri"/>
        <family val="2"/>
      </rPr>
      <t xml:space="preserve"> in 1:00-1:15 between each.</t>
    </r>
    <phoneticPr fontId="1" type="noConversion"/>
  </si>
  <si>
    <r>
      <t xml:space="preserve">2 sets of 8-10 x </t>
    </r>
    <r>
      <rPr>
        <b/>
        <sz val="16"/>
        <color rgb="FFC00000"/>
        <rFont val="Calibri"/>
        <family val="2"/>
      </rPr>
      <t>200 m</t>
    </r>
    <r>
      <rPr>
        <sz val="16"/>
        <color theme="1"/>
        <rFont val="Calibri"/>
        <family val="2"/>
      </rPr>
      <t xml:space="preserve">, jog </t>
    </r>
    <r>
      <rPr>
        <b/>
        <sz val="16"/>
        <color rgb="FF006600"/>
        <rFont val="Calibri"/>
        <family val="2"/>
      </rPr>
      <t>100 m</t>
    </r>
    <r>
      <rPr>
        <sz val="16"/>
        <color theme="1"/>
        <rFont val="Calibri"/>
        <family val="2"/>
      </rPr>
      <t xml:space="preserve"> in 1:15-1:30 between each,</t>
    </r>
    <phoneticPr fontId="1" type="noConversion"/>
  </si>
  <si>
    <r>
      <t xml:space="preserve">15-20 x </t>
    </r>
    <r>
      <rPr>
        <b/>
        <sz val="16"/>
        <color rgb="FFC00000"/>
        <rFont val="Calibri"/>
        <family val="2"/>
      </rPr>
      <t>200 m</t>
    </r>
    <r>
      <rPr>
        <sz val="16"/>
        <color theme="1"/>
        <rFont val="Calibri"/>
        <family val="2"/>
      </rPr>
      <t xml:space="preserve">, jog </t>
    </r>
    <r>
      <rPr>
        <b/>
        <sz val="16"/>
        <color rgb="FF006600"/>
        <rFont val="Calibri"/>
        <family val="2"/>
      </rPr>
      <t>100 m</t>
    </r>
    <r>
      <rPr>
        <sz val="16"/>
        <color theme="1"/>
        <rFont val="Calibri"/>
        <family val="2"/>
      </rPr>
      <t xml:space="preserve"> in 1:30-1:45 between each.</t>
    </r>
    <phoneticPr fontId="1" type="noConversion"/>
  </si>
  <si>
    <r>
      <t xml:space="preserve">12-15 x </t>
    </r>
    <r>
      <rPr>
        <b/>
        <sz val="16"/>
        <color rgb="FFC00000"/>
        <rFont val="Calibri"/>
        <family val="2"/>
      </rPr>
      <t>300 m</t>
    </r>
    <r>
      <rPr>
        <sz val="16"/>
        <color theme="1"/>
        <rFont val="Calibri"/>
        <family val="2"/>
      </rPr>
      <t xml:space="preserve">, jog </t>
    </r>
    <r>
      <rPr>
        <b/>
        <sz val="16"/>
        <color rgb="FF006600"/>
        <rFont val="Calibri"/>
        <family val="2"/>
      </rPr>
      <t>100 m</t>
    </r>
    <r>
      <rPr>
        <sz val="16"/>
        <color theme="1"/>
        <rFont val="Calibri"/>
        <family val="2"/>
      </rPr>
      <t xml:space="preserve"> in 2:00-2:15 between each.</t>
    </r>
    <phoneticPr fontId="1" type="noConversion"/>
  </si>
  <si>
    <r>
      <t xml:space="preserve">8-10 x </t>
    </r>
    <r>
      <rPr>
        <b/>
        <sz val="16"/>
        <color rgb="FFC00000"/>
        <rFont val="Calibri"/>
        <family val="2"/>
      </rPr>
      <t>400 m</t>
    </r>
    <r>
      <rPr>
        <sz val="16"/>
        <color theme="1"/>
        <rFont val="Calibri"/>
        <family val="2"/>
      </rPr>
      <t xml:space="preserve">, jog </t>
    </r>
    <r>
      <rPr>
        <b/>
        <sz val="16"/>
        <color rgb="FF006600"/>
        <rFont val="Calibri"/>
        <family val="2"/>
      </rPr>
      <t>200 m</t>
    </r>
    <r>
      <rPr>
        <sz val="16"/>
        <color theme="1"/>
        <rFont val="Calibri"/>
        <family val="2"/>
      </rPr>
      <t xml:space="preserve"> in 3:00-3:15 between each.</t>
    </r>
    <phoneticPr fontId="1" type="noConversion"/>
  </si>
  <si>
    <r>
      <t xml:space="preserve">6-8 x </t>
    </r>
    <r>
      <rPr>
        <b/>
        <sz val="16"/>
        <color rgb="FFC00000"/>
        <rFont val="Calibri"/>
        <family val="2"/>
      </rPr>
      <t>600 m</t>
    </r>
    <r>
      <rPr>
        <sz val="16"/>
        <color theme="1"/>
        <rFont val="Calibri"/>
        <family val="2"/>
      </rPr>
      <t xml:space="preserve">, jog </t>
    </r>
    <r>
      <rPr>
        <b/>
        <sz val="16"/>
        <color rgb="FF006600"/>
        <rFont val="Calibri"/>
        <family val="2"/>
      </rPr>
      <t>200 m</t>
    </r>
    <r>
      <rPr>
        <sz val="16"/>
        <color theme="1"/>
        <rFont val="Calibri"/>
        <family val="2"/>
      </rPr>
      <t xml:space="preserve"> in 2:45-3:00 between each.</t>
    </r>
    <phoneticPr fontId="1" type="noConversion"/>
  </si>
  <si>
    <r>
      <t xml:space="preserve">5-6 x </t>
    </r>
    <r>
      <rPr>
        <b/>
        <sz val="16"/>
        <color rgb="FFC00000"/>
        <rFont val="Calibri"/>
        <family val="2"/>
      </rPr>
      <t>800 m</t>
    </r>
    <r>
      <rPr>
        <sz val="16"/>
        <color theme="1"/>
        <rFont val="Calibri"/>
        <family val="2"/>
      </rPr>
      <t xml:space="preserve">, jog </t>
    </r>
    <r>
      <rPr>
        <b/>
        <sz val="16"/>
        <color rgb="FF006600"/>
        <rFont val="Calibri"/>
        <family val="2"/>
      </rPr>
      <t>200 m</t>
    </r>
    <r>
      <rPr>
        <sz val="16"/>
        <color theme="1"/>
        <rFont val="Calibri"/>
        <family val="2"/>
      </rPr>
      <t xml:space="preserve"> in 3:00-3:15 between each.</t>
    </r>
    <phoneticPr fontId="1" type="noConversion"/>
  </si>
  <si>
    <r>
      <t xml:space="preserve">4-5 x </t>
    </r>
    <r>
      <rPr>
        <b/>
        <sz val="16"/>
        <color rgb="FFC00000"/>
        <rFont val="Calibri"/>
        <family val="2"/>
      </rPr>
      <t>1000 m</t>
    </r>
    <r>
      <rPr>
        <sz val="16"/>
        <color theme="1"/>
        <rFont val="Calibri"/>
        <family val="2"/>
      </rPr>
      <t xml:space="preserve">, jog </t>
    </r>
    <r>
      <rPr>
        <b/>
        <sz val="16"/>
        <color rgb="FF006600"/>
        <rFont val="Calibri"/>
        <family val="2"/>
      </rPr>
      <t>200 m</t>
    </r>
    <r>
      <rPr>
        <sz val="16"/>
        <color theme="1"/>
        <rFont val="Calibri"/>
        <family val="2"/>
      </rPr>
      <t xml:space="preserve"> in 3:15-3:30 between each.</t>
    </r>
    <phoneticPr fontId="1" type="noConversion"/>
  </si>
  <si>
    <r>
      <t xml:space="preserve">3-4 x </t>
    </r>
    <r>
      <rPr>
        <b/>
        <sz val="16"/>
        <color rgb="FFC00000"/>
        <rFont val="Calibri"/>
        <family val="2"/>
      </rPr>
      <t>1200 m</t>
    </r>
    <r>
      <rPr>
        <sz val="16"/>
        <color theme="1"/>
        <rFont val="Calibri"/>
        <family val="2"/>
      </rPr>
      <t>, jog</t>
    </r>
    <r>
      <rPr>
        <b/>
        <sz val="16"/>
        <color rgb="FF006600"/>
        <rFont val="Calibri"/>
        <family val="2"/>
      </rPr>
      <t xml:space="preserve"> 200 m</t>
    </r>
    <r>
      <rPr>
        <sz val="16"/>
        <color theme="1"/>
        <rFont val="Calibri"/>
        <family val="2"/>
      </rPr>
      <t xml:space="preserve"> in 3:45-4:00 between each.</t>
    </r>
    <phoneticPr fontId="1" type="noConversion"/>
  </si>
  <si>
    <r>
      <t xml:space="preserve">Use </t>
    </r>
    <r>
      <rPr>
        <b/>
        <sz val="16"/>
        <color rgb="FF006600"/>
        <rFont val="Calibri"/>
        <family val="2"/>
      </rPr>
      <t>100 m</t>
    </r>
    <r>
      <rPr>
        <sz val="16"/>
        <color theme="1"/>
        <rFont val="Calibri"/>
        <family val="2"/>
      </rPr>
      <t xml:space="preserve"> (6-10 reps),</t>
    </r>
    <r>
      <rPr>
        <b/>
        <sz val="16"/>
        <color rgb="FF006600"/>
        <rFont val="Calibri"/>
        <family val="2"/>
      </rPr>
      <t xml:space="preserve"> 200 m</t>
    </r>
    <r>
      <rPr>
        <sz val="16"/>
        <color theme="1"/>
        <rFont val="Calibri"/>
        <family val="2"/>
      </rPr>
      <t xml:space="preserve"> (6-8 reps), and </t>
    </r>
    <r>
      <rPr>
        <b/>
        <sz val="16"/>
        <color rgb="FF006600"/>
        <rFont val="Calibri"/>
        <family val="2"/>
      </rPr>
      <t>300 m</t>
    </r>
    <r>
      <rPr>
        <sz val="16"/>
        <color theme="1"/>
        <rFont val="Calibri"/>
        <family val="2"/>
      </rPr>
      <t xml:space="preserve"> (4-6 reps) at </t>
    </r>
    <r>
      <rPr>
        <b/>
        <sz val="16"/>
        <color rgb="FFFF0000"/>
        <rFont val="Calibri"/>
        <family val="2"/>
      </rPr>
      <t>full</t>
    </r>
    <phoneticPr fontId="1" type="noConversion"/>
  </si>
  <si>
    <r>
      <t xml:space="preserve">Use different kinds of </t>
    </r>
    <r>
      <rPr>
        <b/>
        <sz val="16"/>
        <color rgb="FF006600"/>
        <rFont val="Calibri"/>
        <family val="2"/>
      </rPr>
      <t>bouncing</t>
    </r>
    <r>
      <rPr>
        <sz val="16"/>
        <color theme="1"/>
        <rFont val="Calibri"/>
        <family val="2"/>
      </rPr>
      <t xml:space="preserve">, </t>
    </r>
    <r>
      <rPr>
        <b/>
        <sz val="16"/>
        <color rgb="FF006600"/>
        <rFont val="Calibri"/>
        <family val="2"/>
      </rPr>
      <t>hopping</t>
    </r>
    <r>
      <rPr>
        <sz val="16"/>
        <color theme="1"/>
        <rFont val="Calibri"/>
        <family val="2"/>
      </rPr>
      <t xml:space="preserve">, </t>
    </r>
    <r>
      <rPr>
        <b/>
        <sz val="16"/>
        <color rgb="FF006600"/>
        <rFont val="Calibri"/>
        <family val="2"/>
      </rPr>
      <t>skipping</t>
    </r>
    <r>
      <rPr>
        <sz val="16"/>
        <color theme="1"/>
        <rFont val="Calibri"/>
        <family val="2"/>
      </rPr>
      <t xml:space="preserve">, and </t>
    </r>
    <r>
      <rPr>
        <b/>
        <sz val="16"/>
        <color rgb="FF006600"/>
        <rFont val="Calibri"/>
        <family val="2"/>
      </rPr>
      <t>jumping</t>
    </r>
    <phoneticPr fontId="1" type="noConversion"/>
  </si>
  <si>
    <r>
      <t xml:space="preserve">2 sets of 15-20 x </t>
    </r>
    <r>
      <rPr>
        <b/>
        <sz val="16"/>
        <color rgb="FFC00000"/>
        <rFont val="Calibri"/>
        <family val="2"/>
      </rPr>
      <t>100 m</t>
    </r>
    <r>
      <rPr>
        <sz val="16"/>
        <color theme="1"/>
        <rFont val="Calibri"/>
        <family val="2"/>
      </rPr>
      <t xml:space="preserve">, </t>
    </r>
    <phoneticPr fontId="1" type="noConversion"/>
  </si>
  <si>
    <r>
      <t xml:space="preserve">15-20 x </t>
    </r>
    <r>
      <rPr>
        <b/>
        <sz val="16"/>
        <color rgb="FFC00000"/>
        <rFont val="Calibri"/>
        <family val="2"/>
      </rPr>
      <t>200 m</t>
    </r>
    <r>
      <rPr>
        <sz val="16"/>
        <color theme="1"/>
        <rFont val="Calibri"/>
        <family val="2"/>
      </rPr>
      <t xml:space="preserve">, </t>
    </r>
    <phoneticPr fontId="1" type="noConversion"/>
  </si>
  <si>
    <r>
      <t xml:space="preserve">10-14 x </t>
    </r>
    <r>
      <rPr>
        <b/>
        <sz val="16"/>
        <color rgb="FFC00000"/>
        <rFont val="Calibri"/>
        <family val="2"/>
      </rPr>
      <t>300 m</t>
    </r>
    <r>
      <rPr>
        <sz val="16"/>
        <color theme="1"/>
        <rFont val="Calibri"/>
        <family val="2"/>
      </rPr>
      <t>,</t>
    </r>
    <phoneticPr fontId="1" type="noConversion"/>
  </si>
  <si>
    <r>
      <t xml:space="preserve">8-10 x </t>
    </r>
    <r>
      <rPr>
        <b/>
        <sz val="16"/>
        <color rgb="FFC00000"/>
        <rFont val="Calibri"/>
        <family val="2"/>
      </rPr>
      <t>400 m</t>
    </r>
    <r>
      <rPr>
        <sz val="16"/>
        <color theme="1"/>
        <rFont val="Calibri"/>
        <family val="2"/>
      </rPr>
      <t>,</t>
    </r>
    <phoneticPr fontId="1" type="noConversion"/>
  </si>
  <si>
    <r>
      <t xml:space="preserve">5-7 x </t>
    </r>
    <r>
      <rPr>
        <b/>
        <sz val="16"/>
        <color rgb="FFC00000"/>
        <rFont val="Calibri"/>
        <family val="2"/>
      </rPr>
      <t>600 m</t>
    </r>
    <r>
      <rPr>
        <sz val="16"/>
        <color theme="1"/>
        <rFont val="Calibri"/>
        <family val="2"/>
      </rPr>
      <t>,</t>
    </r>
    <phoneticPr fontId="1" type="noConversion"/>
  </si>
  <si>
    <r>
      <t xml:space="preserve">4-5 x </t>
    </r>
    <r>
      <rPr>
        <b/>
        <sz val="16"/>
        <color rgb="FFC00000"/>
        <rFont val="Calibri"/>
        <family val="2"/>
      </rPr>
      <t>800 m</t>
    </r>
    <r>
      <rPr>
        <sz val="16"/>
        <color theme="1"/>
        <rFont val="Calibri"/>
        <family val="2"/>
      </rPr>
      <t>,</t>
    </r>
    <phoneticPr fontId="1" type="noConversion"/>
  </si>
  <si>
    <r>
      <t xml:space="preserve">20-25 x </t>
    </r>
    <r>
      <rPr>
        <b/>
        <sz val="16"/>
        <color rgb="FFC00000"/>
        <rFont val="Calibri"/>
        <family val="2"/>
      </rPr>
      <t>200 m</t>
    </r>
    <r>
      <rPr>
        <sz val="16"/>
        <color theme="1"/>
        <rFont val="Calibri"/>
        <family val="2"/>
      </rPr>
      <t xml:space="preserve">, jog </t>
    </r>
    <r>
      <rPr>
        <b/>
        <sz val="16"/>
        <color rgb="FF006600"/>
        <rFont val="Calibri"/>
        <family val="2"/>
      </rPr>
      <t>200 m</t>
    </r>
    <r>
      <rPr>
        <sz val="16"/>
        <color theme="1"/>
        <rFont val="Calibri"/>
        <family val="2"/>
      </rPr>
      <t xml:space="preserve"> in 1:20-1:30 between each.</t>
    </r>
    <phoneticPr fontId="1" type="noConversion"/>
  </si>
  <si>
    <r>
      <t xml:space="preserve">20-25 x </t>
    </r>
    <r>
      <rPr>
        <b/>
        <sz val="16"/>
        <color rgb="FFC00000"/>
        <rFont val="Calibri"/>
        <family val="2"/>
      </rPr>
      <t>300 m</t>
    </r>
    <r>
      <rPr>
        <sz val="16"/>
        <color theme="1"/>
        <rFont val="Calibri"/>
        <family val="2"/>
      </rPr>
      <t xml:space="preserve">, jog </t>
    </r>
    <r>
      <rPr>
        <b/>
        <sz val="16"/>
        <color rgb="FF006600"/>
        <rFont val="Calibri"/>
        <family val="2"/>
      </rPr>
      <t>100 m</t>
    </r>
    <r>
      <rPr>
        <sz val="16"/>
        <color theme="1"/>
        <rFont val="Calibri"/>
        <family val="2"/>
      </rPr>
      <t xml:space="preserve"> in 1:00-1:15 between each.</t>
    </r>
    <phoneticPr fontId="1" type="noConversion"/>
  </si>
  <si>
    <r>
      <t xml:space="preserve">15-20 x </t>
    </r>
    <r>
      <rPr>
        <b/>
        <sz val="16"/>
        <color rgb="FFC00000"/>
        <rFont val="Calibri"/>
        <family val="2"/>
      </rPr>
      <t>400 m</t>
    </r>
    <r>
      <rPr>
        <sz val="16"/>
        <color theme="1"/>
        <rFont val="Calibri"/>
        <family val="2"/>
      </rPr>
      <t>, jog 1:00-1:30 between each.</t>
    </r>
    <phoneticPr fontId="1" type="noConversion"/>
  </si>
  <si>
    <r>
      <t xml:space="preserve">15-20 x </t>
    </r>
    <r>
      <rPr>
        <b/>
        <sz val="16"/>
        <color rgb="FFC00000"/>
        <rFont val="Calibri"/>
        <family val="2"/>
      </rPr>
      <t>400 m</t>
    </r>
    <r>
      <rPr>
        <sz val="16"/>
        <color theme="1"/>
        <rFont val="Calibri"/>
        <family val="2"/>
      </rPr>
      <t xml:space="preserve">, jog </t>
    </r>
    <r>
      <rPr>
        <b/>
        <sz val="16"/>
        <color rgb="FF006600"/>
        <rFont val="Calibri"/>
        <family val="2"/>
      </rPr>
      <t>200 m</t>
    </r>
    <r>
      <rPr>
        <sz val="16"/>
        <color theme="1"/>
        <rFont val="Calibri"/>
        <family val="2"/>
      </rPr>
      <t xml:space="preserve"> in 1:30-1:45 between each.</t>
    </r>
    <phoneticPr fontId="1" type="noConversion"/>
  </si>
  <si>
    <r>
      <t xml:space="preserve">10-15 x </t>
    </r>
    <r>
      <rPr>
        <b/>
        <sz val="16"/>
        <color rgb="FFC00000"/>
        <rFont val="Calibri"/>
        <family val="2"/>
      </rPr>
      <t>600 m</t>
    </r>
    <r>
      <rPr>
        <sz val="16"/>
        <color theme="1"/>
        <rFont val="Calibri"/>
        <family val="2"/>
      </rPr>
      <t xml:space="preserve">, jog </t>
    </r>
    <r>
      <rPr>
        <b/>
        <sz val="16"/>
        <color rgb="FF006600"/>
        <rFont val="Calibri"/>
        <family val="2"/>
      </rPr>
      <t>200 m</t>
    </r>
    <r>
      <rPr>
        <sz val="16"/>
        <color theme="1"/>
        <rFont val="Calibri"/>
        <family val="2"/>
      </rPr>
      <t xml:space="preserve"> in 1:45-2:00 between each.</t>
    </r>
    <phoneticPr fontId="1" type="noConversion"/>
  </si>
  <si>
    <r>
      <t xml:space="preserve">10-15 x </t>
    </r>
    <r>
      <rPr>
        <b/>
        <sz val="16"/>
        <color rgb="FFC00000"/>
        <rFont val="Calibri"/>
        <family val="2"/>
      </rPr>
      <t>800 m</t>
    </r>
    <r>
      <rPr>
        <sz val="16"/>
        <color theme="1"/>
        <rFont val="Calibri"/>
        <family val="2"/>
      </rPr>
      <t>, jog 1:30-1:45 between each.</t>
    </r>
    <phoneticPr fontId="1" type="noConversion"/>
  </si>
  <si>
    <r>
      <t xml:space="preserve">8-12 x </t>
    </r>
    <r>
      <rPr>
        <b/>
        <sz val="16"/>
        <color rgb="FFC00000"/>
        <rFont val="Calibri"/>
        <family val="2"/>
      </rPr>
      <t>1000 m</t>
    </r>
    <r>
      <rPr>
        <sz val="16"/>
        <color theme="1"/>
        <rFont val="Calibri"/>
        <family val="2"/>
      </rPr>
      <t>, jog 2:00 between each.</t>
    </r>
    <phoneticPr fontId="1" type="noConversion"/>
  </si>
  <si>
    <r>
      <t xml:space="preserve">6-10 x </t>
    </r>
    <r>
      <rPr>
        <b/>
        <sz val="16"/>
        <color rgb="FFC00000"/>
        <rFont val="Calibri"/>
        <family val="2"/>
      </rPr>
      <t>1000 m</t>
    </r>
    <r>
      <rPr>
        <sz val="16"/>
        <color theme="1"/>
        <rFont val="Calibri"/>
        <family val="2"/>
      </rPr>
      <t xml:space="preserve">, jog </t>
    </r>
    <r>
      <rPr>
        <b/>
        <sz val="16"/>
        <color rgb="FF006600"/>
        <rFont val="Calibri"/>
        <family val="2"/>
      </rPr>
      <t>200 m</t>
    </r>
    <r>
      <rPr>
        <sz val="16"/>
        <color theme="1"/>
        <rFont val="Calibri"/>
        <family val="2"/>
      </rPr>
      <t xml:space="preserve"> in 1:45-200 between each.</t>
    </r>
    <phoneticPr fontId="1" type="noConversion"/>
  </si>
  <si>
    <r>
      <t xml:space="preserve">6-10 x </t>
    </r>
    <r>
      <rPr>
        <b/>
        <sz val="16"/>
        <color rgb="FFC00000"/>
        <rFont val="Calibri"/>
        <family val="2"/>
      </rPr>
      <t>1200 m</t>
    </r>
    <r>
      <rPr>
        <sz val="16"/>
        <color theme="1"/>
        <rFont val="Calibri"/>
        <family val="2"/>
      </rPr>
      <t>, jog 2:00 between each.</t>
    </r>
    <phoneticPr fontId="1" type="noConversion"/>
  </si>
  <si>
    <r>
      <t xml:space="preserve">5-8 x </t>
    </r>
    <r>
      <rPr>
        <b/>
        <sz val="16"/>
        <color rgb="FFC00000"/>
        <rFont val="Calibri"/>
        <family val="2"/>
      </rPr>
      <t>1600 m</t>
    </r>
    <r>
      <rPr>
        <sz val="16"/>
        <color theme="1"/>
        <rFont val="Calibri"/>
        <family val="2"/>
      </rPr>
      <t>, jog 2:00-3:00 between each.</t>
    </r>
    <phoneticPr fontId="1" type="noConversion"/>
  </si>
  <si>
    <r>
      <t xml:space="preserve">4-6 x </t>
    </r>
    <r>
      <rPr>
        <b/>
        <sz val="16"/>
        <color rgb="FFC00000"/>
        <rFont val="Calibri"/>
        <family val="2"/>
      </rPr>
      <t>2000 m</t>
    </r>
    <r>
      <rPr>
        <sz val="16"/>
        <color theme="1"/>
        <rFont val="Calibri"/>
        <family val="2"/>
      </rPr>
      <t>, jog 2:00-3:00 between each.</t>
    </r>
    <phoneticPr fontId="1" type="noConversion"/>
  </si>
  <si>
    <r>
      <t xml:space="preserve">2-3 x </t>
    </r>
    <r>
      <rPr>
        <b/>
        <sz val="16"/>
        <color rgb="FFC00000"/>
        <rFont val="Calibri"/>
        <family val="2"/>
      </rPr>
      <t>4000 m</t>
    </r>
    <r>
      <rPr>
        <sz val="16"/>
        <color theme="1"/>
        <rFont val="Calibri"/>
        <family val="2"/>
      </rPr>
      <t>, jog 2:00-3:00 between each.</t>
    </r>
    <phoneticPr fontId="1" type="noConversion"/>
  </si>
  <si>
    <t>Wong-Sir's Running Programs</t>
    <phoneticPr fontId="1" type="noConversion"/>
  </si>
  <si>
    <t>14:00 to 15:00.</t>
    <phoneticPr fontId="1" type="noConversion"/>
  </si>
  <si>
    <t>2K</t>
    <phoneticPr fontId="1" type="noConversion"/>
  </si>
  <si>
    <t>&lt; 2K</t>
    <phoneticPr fontId="1" type="noConversion"/>
  </si>
  <si>
    <t>Time Trials:</t>
    <phoneticPr fontId="1" type="noConversion"/>
  </si>
  <si>
    <t>min</t>
    <phoneticPr fontId="1" type="noConversion"/>
  </si>
  <si>
    <t>s</t>
    <phoneticPr fontId="1" type="noConversion"/>
  </si>
  <si>
    <t>or</t>
    <phoneticPr fontId="1" type="noConversion"/>
  </si>
  <si>
    <t>m/s</t>
    <phoneticPr fontId="1" type="noConversion"/>
  </si>
  <si>
    <r>
      <t xml:space="preserve">6-10 x </t>
    </r>
    <r>
      <rPr>
        <b/>
        <sz val="16"/>
        <color rgb="FFC00000"/>
        <rFont val="Calibri"/>
        <family val="2"/>
      </rPr>
      <t>100 m</t>
    </r>
    <r>
      <rPr>
        <sz val="16"/>
        <color theme="1"/>
        <rFont val="Calibri"/>
        <family val="2"/>
      </rPr>
      <t>, rest 1:30-2:00 between each.</t>
    </r>
    <phoneticPr fontId="1" type="noConversion"/>
  </si>
  <si>
    <r>
      <t xml:space="preserve">(i.e., </t>
    </r>
    <r>
      <rPr>
        <b/>
        <sz val="16"/>
        <color rgb="FFFF0000"/>
        <rFont val="Calibri"/>
        <family val="2"/>
      </rPr>
      <t>1:3</t>
    </r>
    <r>
      <rPr>
        <sz val="16"/>
        <color theme="1"/>
        <rFont val="Calibri"/>
        <family val="2"/>
      </rPr>
      <t xml:space="preserve"> to </t>
    </r>
    <r>
      <rPr>
        <b/>
        <sz val="16"/>
        <color rgb="FFFF0000"/>
        <rFont val="Calibri"/>
        <family val="2"/>
      </rPr>
      <t>1:5</t>
    </r>
    <r>
      <rPr>
        <sz val="16"/>
        <color theme="1"/>
        <rFont val="Calibri"/>
        <family val="2"/>
      </rPr>
      <t xml:space="preserve"> work-rest ratio).</t>
    </r>
    <phoneticPr fontId="1" type="noConversion"/>
  </si>
  <si>
    <t>At Threshold:</t>
    <phoneticPr fontId="1" type="noConversion"/>
  </si>
  <si>
    <r>
      <t xml:space="preserve">Mainly </t>
    </r>
    <r>
      <rPr>
        <b/>
        <sz val="16"/>
        <color rgb="FF000099"/>
        <rFont val="Calibri"/>
        <family val="2"/>
      </rPr>
      <t xml:space="preserve">30-second </t>
    </r>
    <r>
      <rPr>
        <sz val="16"/>
        <rFont val="Calibri"/>
        <family val="2"/>
      </rPr>
      <t>to</t>
    </r>
    <r>
      <rPr>
        <b/>
        <sz val="16"/>
        <color rgb="FF000099"/>
        <rFont val="Calibri"/>
        <family val="2"/>
      </rPr>
      <t xml:space="preserve"> 3-minute</t>
    </r>
    <r>
      <rPr>
        <sz val="16"/>
        <color theme="1"/>
        <rFont val="Calibri"/>
        <family val="2"/>
      </rPr>
      <t xml:space="preserve"> intervals at </t>
    </r>
    <r>
      <rPr>
        <b/>
        <u/>
        <sz val="16"/>
        <color rgb="FFFF0000"/>
        <rFont val="Calibri"/>
        <family val="2"/>
      </rPr>
      <t>100%</t>
    </r>
    <r>
      <rPr>
        <sz val="16"/>
        <color theme="1"/>
        <rFont val="Calibri"/>
        <family val="2"/>
      </rPr>
      <t xml:space="preserve"> vVO2max.</t>
    </r>
    <phoneticPr fontId="1" type="noConversion"/>
  </si>
  <si>
    <r>
      <t xml:space="preserve">Interval runs at </t>
    </r>
    <r>
      <rPr>
        <b/>
        <u/>
        <sz val="16"/>
        <color rgb="FFFF0000"/>
        <rFont val="Calibri"/>
        <family val="2"/>
      </rPr>
      <t>75-85%</t>
    </r>
    <r>
      <rPr>
        <sz val="16"/>
        <color theme="1"/>
        <rFont val="Calibri"/>
        <family val="2"/>
      </rPr>
      <t xml:space="preserve"> vVO2max, covering </t>
    </r>
    <r>
      <rPr>
        <b/>
        <sz val="16"/>
        <color rgb="FFFF0000"/>
        <rFont val="Calibri"/>
        <family val="2"/>
      </rPr>
      <t>8-12K</t>
    </r>
    <r>
      <rPr>
        <sz val="16"/>
        <color theme="1"/>
        <rFont val="Calibri"/>
        <family val="2"/>
      </rPr>
      <t>.</t>
    </r>
    <phoneticPr fontId="1" type="noConversion"/>
  </si>
  <si>
    <r>
      <rPr>
        <b/>
        <sz val="16"/>
        <color rgb="FF000099"/>
        <rFont val="Calibri"/>
        <family val="2"/>
      </rPr>
      <t>slightly faster</t>
    </r>
    <r>
      <rPr>
        <sz val="16"/>
        <color theme="1"/>
        <rFont val="Calibri"/>
        <family val="2"/>
      </rPr>
      <t xml:space="preserve"> than vVO2max (i.e., </t>
    </r>
    <r>
      <rPr>
        <b/>
        <u/>
        <sz val="16"/>
        <color rgb="FFFF0000"/>
        <rFont val="Calibri"/>
        <family val="2"/>
      </rPr>
      <t>90-95%</t>
    </r>
    <r>
      <rPr>
        <sz val="16"/>
        <color theme="1"/>
        <rFont val="Calibri"/>
        <family val="2"/>
      </rPr>
      <t xml:space="preserve"> and </t>
    </r>
    <r>
      <rPr>
        <b/>
        <u/>
        <sz val="16"/>
        <color rgb="FFFF0000"/>
        <rFont val="Calibri"/>
        <family val="2"/>
      </rPr>
      <t>105-115%</t>
    </r>
    <r>
      <rPr>
        <sz val="16"/>
        <color theme="1"/>
        <rFont val="Calibri"/>
        <family val="2"/>
      </rPr>
      <t xml:space="preserve"> vVO2max)</t>
    </r>
    <phoneticPr fontId="1" type="noConversion"/>
  </si>
  <si>
    <t>each</t>
    <phoneticPr fontId="1" type="noConversion"/>
  </si>
  <si>
    <r>
      <rPr>
        <b/>
        <sz val="16"/>
        <color rgb="FFFF0000"/>
        <rFont val="Calibri"/>
        <family val="2"/>
      </rPr>
      <t>speed</t>
    </r>
    <r>
      <rPr>
        <sz val="16"/>
        <color theme="1"/>
        <rFont val="Calibri"/>
        <family val="2"/>
      </rPr>
      <t xml:space="preserve"> or </t>
    </r>
    <r>
      <rPr>
        <b/>
        <u/>
        <sz val="16"/>
        <color rgb="FF000099"/>
        <rFont val="Calibri"/>
        <family val="2"/>
      </rPr>
      <t>close to</t>
    </r>
    <r>
      <rPr>
        <sz val="16"/>
        <color theme="1"/>
        <rFont val="Calibri"/>
        <family val="2"/>
      </rPr>
      <t xml:space="preserve"> </t>
    </r>
    <r>
      <rPr>
        <b/>
        <sz val="16"/>
        <color rgb="FFFF0000"/>
        <rFont val="Calibri"/>
        <family val="2"/>
      </rPr>
      <t>full speed</t>
    </r>
    <r>
      <rPr>
        <sz val="16"/>
        <color theme="1"/>
        <rFont val="Calibri"/>
        <family val="2"/>
      </rPr>
      <t xml:space="preserve"> sprinting with more complete recovery</t>
    </r>
    <phoneticPr fontId="1" type="noConversion"/>
  </si>
  <si>
    <t>-</t>
    <phoneticPr fontId="1" type="noConversion"/>
  </si>
  <si>
    <r>
      <t xml:space="preserve">Full speed sprinting (100% speed) is </t>
    </r>
    <r>
      <rPr>
        <b/>
        <u/>
        <sz val="16"/>
        <color rgb="FFFF0000"/>
        <rFont val="Calibri"/>
        <family val="2"/>
      </rPr>
      <t>not</t>
    </r>
    <r>
      <rPr>
        <sz val="16"/>
        <color theme="1"/>
        <rFont val="Calibri"/>
        <family val="2"/>
      </rPr>
      <t xml:space="preserve"> the same as 100% vVO2max.</t>
    </r>
    <phoneticPr fontId="1" type="noConversion"/>
  </si>
  <si>
    <t>between 1500 m to 2000 m speed.</t>
    <phoneticPr fontId="1" type="noConversion"/>
  </si>
  <si>
    <t>It is very much faster than 100% vVO2max, which is only somewhere</t>
    <phoneticPr fontId="1" type="noConversion"/>
  </si>
  <si>
    <t>Enter your own results in the boxes below:</t>
    <phoneticPr fontId="1" type="noConversion"/>
  </si>
  <si>
    <t>Below lactate threshold speed:</t>
    <phoneticPr fontId="1" type="noConversion"/>
  </si>
  <si>
    <t>-</t>
    <phoneticPr fontId="1" type="noConversion"/>
  </si>
  <si>
    <t>Just below lactate threshold speed</t>
    <phoneticPr fontId="1" type="noConversion"/>
  </si>
  <si>
    <r>
      <t xml:space="preserve">i.e., </t>
    </r>
    <r>
      <rPr>
        <b/>
        <u/>
        <sz val="16"/>
        <color theme="1"/>
        <rFont val="Calibri"/>
        <family val="2"/>
      </rPr>
      <t>not</t>
    </r>
    <r>
      <rPr>
        <sz val="16"/>
        <color theme="1"/>
        <rFont val="Calibri"/>
        <family val="2"/>
      </rPr>
      <t xml:space="preserve"> faster than:</t>
    </r>
    <phoneticPr fontId="1" type="noConversion"/>
  </si>
  <si>
    <t>Slightly above lacate threshold speed</t>
    <phoneticPr fontId="1" type="noConversion"/>
  </si>
  <si>
    <t>15% above:</t>
    <phoneticPr fontId="1" type="noConversion"/>
  </si>
  <si>
    <t>12.5% above:</t>
    <phoneticPr fontId="1" type="noConversion"/>
  </si>
  <si>
    <r>
      <t xml:space="preserve">80-90 </t>
    </r>
    <r>
      <rPr>
        <sz val="16"/>
        <rFont val="Calibri"/>
        <family val="2"/>
      </rPr>
      <t>% vVO2max</t>
    </r>
    <phoneticPr fontId="1" type="noConversion"/>
  </si>
  <si>
    <r>
      <t xml:space="preserve">85-95 </t>
    </r>
    <r>
      <rPr>
        <sz val="16"/>
        <rFont val="Calibri"/>
        <family val="2"/>
      </rPr>
      <t>% vVO2max</t>
    </r>
    <phoneticPr fontId="1" type="noConversion"/>
  </si>
  <si>
    <r>
      <t xml:space="preserve">90-100 </t>
    </r>
    <r>
      <rPr>
        <sz val="16"/>
        <rFont val="Calibri"/>
        <family val="2"/>
      </rPr>
      <t>% vVO2max</t>
    </r>
    <phoneticPr fontId="1" type="noConversion"/>
  </si>
  <si>
    <r>
      <t xml:space="preserve">95-115 </t>
    </r>
    <r>
      <rPr>
        <sz val="16"/>
        <rFont val="Calibri"/>
        <family val="2"/>
      </rPr>
      <t>% vVO2max</t>
    </r>
    <phoneticPr fontId="1" type="noConversion"/>
  </si>
  <si>
    <r>
      <t xml:space="preserve">   slower speeds (i.e., </t>
    </r>
    <r>
      <rPr>
        <b/>
        <sz val="16"/>
        <color rgb="FFFF0000"/>
        <rFont val="Calibri"/>
        <family val="2"/>
      </rPr>
      <t>90-95%</t>
    </r>
    <r>
      <rPr>
        <sz val="16"/>
        <color theme="1"/>
        <rFont val="Calibri"/>
        <family val="2"/>
      </rPr>
      <t xml:space="preserve"> vVO2max).</t>
    </r>
    <phoneticPr fontId="1" type="noConversion"/>
  </si>
  <si>
    <r>
      <t xml:space="preserve">   faster speeds (i.e., </t>
    </r>
    <r>
      <rPr>
        <b/>
        <sz val="16"/>
        <color rgb="FFFF0000"/>
        <rFont val="Calibri"/>
        <family val="2"/>
      </rPr>
      <t>105-115%</t>
    </r>
    <r>
      <rPr>
        <sz val="16"/>
        <color theme="1"/>
        <rFont val="Calibri"/>
        <family val="2"/>
      </rPr>
      <t xml:space="preserve"> vVO2max).</t>
    </r>
    <phoneticPr fontId="1" type="noConversion"/>
  </si>
  <si>
    <r>
      <t xml:space="preserve">-  </t>
    </r>
    <r>
      <rPr>
        <b/>
        <sz val="16"/>
        <color rgb="FF006600"/>
        <rFont val="Calibri"/>
        <family val="2"/>
      </rPr>
      <t>Shorter</t>
    </r>
    <r>
      <rPr>
        <sz val="16"/>
        <color theme="1"/>
        <rFont val="Calibri"/>
        <family val="2"/>
      </rPr>
      <t xml:space="preserve"> work distances (</t>
    </r>
    <r>
      <rPr>
        <b/>
        <sz val="16"/>
        <color rgb="FFC00000"/>
        <rFont val="Calibri"/>
        <family val="2"/>
      </rPr>
      <t>100 m</t>
    </r>
    <r>
      <rPr>
        <sz val="16"/>
        <color theme="1"/>
        <rFont val="Calibri"/>
        <family val="2"/>
      </rPr>
      <t xml:space="preserve">, </t>
    </r>
    <r>
      <rPr>
        <b/>
        <sz val="16"/>
        <color rgb="FFC00000"/>
        <rFont val="Calibri"/>
        <family val="2"/>
      </rPr>
      <t>200 m</t>
    </r>
    <r>
      <rPr>
        <sz val="16"/>
        <color theme="1"/>
        <rFont val="Calibri"/>
        <family val="2"/>
      </rPr>
      <t xml:space="preserve">, </t>
    </r>
    <r>
      <rPr>
        <b/>
        <sz val="16"/>
        <color rgb="FFC00000"/>
        <rFont val="Calibri"/>
        <family val="2"/>
      </rPr>
      <t>300 m</t>
    </r>
    <r>
      <rPr>
        <sz val="16"/>
        <color theme="1"/>
        <rFont val="Calibri"/>
        <family val="2"/>
      </rPr>
      <t xml:space="preserve">, and </t>
    </r>
    <r>
      <rPr>
        <b/>
        <sz val="16"/>
        <color rgb="FFC00000"/>
        <rFont val="Calibri"/>
        <family val="2"/>
      </rPr>
      <t>400 m</t>
    </r>
    <r>
      <rPr>
        <sz val="16"/>
        <color theme="1"/>
        <rFont val="Calibri"/>
        <family val="2"/>
      </rPr>
      <t>) use</t>
    </r>
    <phoneticPr fontId="1" type="noConversion"/>
  </si>
  <si>
    <r>
      <t xml:space="preserve">-  </t>
    </r>
    <r>
      <rPr>
        <b/>
        <sz val="16"/>
        <color rgb="FF006600"/>
        <rFont val="Calibri"/>
        <family val="2"/>
      </rPr>
      <t>Longer</t>
    </r>
    <r>
      <rPr>
        <sz val="16"/>
        <color theme="1"/>
        <rFont val="Calibri"/>
        <family val="2"/>
      </rPr>
      <t xml:space="preserve"> work distances (</t>
    </r>
    <r>
      <rPr>
        <b/>
        <sz val="16"/>
        <color rgb="FFC00000"/>
        <rFont val="Calibri"/>
        <family val="2"/>
      </rPr>
      <t>600 m</t>
    </r>
    <r>
      <rPr>
        <sz val="16"/>
        <color theme="1"/>
        <rFont val="Calibri"/>
        <family val="2"/>
      </rPr>
      <t xml:space="preserve">, </t>
    </r>
    <r>
      <rPr>
        <b/>
        <sz val="16"/>
        <color rgb="FFC00000"/>
        <rFont val="Calibri"/>
        <family val="2"/>
      </rPr>
      <t>800 m</t>
    </r>
    <r>
      <rPr>
        <sz val="16"/>
        <color theme="1"/>
        <rFont val="Calibri"/>
        <family val="2"/>
      </rPr>
      <t xml:space="preserve">, </t>
    </r>
    <r>
      <rPr>
        <b/>
        <sz val="16"/>
        <color rgb="FFC00000"/>
        <rFont val="Calibri"/>
        <family val="2"/>
      </rPr>
      <t>1000 m</t>
    </r>
    <r>
      <rPr>
        <sz val="16"/>
        <color theme="1"/>
        <rFont val="Calibri"/>
        <family val="2"/>
      </rPr>
      <t xml:space="preserve">, and </t>
    </r>
    <r>
      <rPr>
        <b/>
        <sz val="16"/>
        <color rgb="FFC00000"/>
        <rFont val="Calibri"/>
        <family val="2"/>
      </rPr>
      <t>1200 m</t>
    </r>
    <r>
      <rPr>
        <sz val="16"/>
        <color theme="1"/>
        <rFont val="Calibri"/>
        <family val="2"/>
      </rPr>
      <t>) use</t>
    </r>
    <phoneticPr fontId="1" type="noConversion"/>
  </si>
  <si>
    <t>% speed</t>
    <phoneticPr fontId="1" type="noConversion"/>
  </si>
  <si>
    <t>m =</t>
    <phoneticPr fontId="1" type="noConversion"/>
  </si>
  <si>
    <t>m=</t>
    <phoneticPr fontId="1" type="noConversion"/>
  </si>
  <si>
    <r>
      <t xml:space="preserve">8-12 x </t>
    </r>
    <r>
      <rPr>
        <b/>
        <sz val="16"/>
        <color rgb="FFC00000"/>
        <rFont val="Calibri"/>
        <family val="2"/>
      </rPr>
      <t>200 m</t>
    </r>
    <r>
      <rPr>
        <sz val="16"/>
        <color theme="1"/>
        <rFont val="Calibri"/>
        <family val="2"/>
      </rPr>
      <t xml:space="preserve"> at 300 m speed, rest 2:00-3:00 between each.</t>
    </r>
    <phoneticPr fontId="1" type="noConversion"/>
  </si>
  <si>
    <r>
      <t xml:space="preserve">6-10 x </t>
    </r>
    <r>
      <rPr>
        <b/>
        <sz val="16"/>
        <color rgb="FFC00000"/>
        <rFont val="Calibri"/>
        <family val="2"/>
      </rPr>
      <t>300 m</t>
    </r>
    <r>
      <rPr>
        <sz val="16"/>
        <color theme="1"/>
        <rFont val="Calibri"/>
        <family val="2"/>
      </rPr>
      <t xml:space="preserve"> at 400 m speed, rest 3:00-4:00 between each.</t>
    </r>
    <phoneticPr fontId="1" type="noConversion"/>
  </si>
  <si>
    <r>
      <t xml:space="preserve">6-8 x </t>
    </r>
    <r>
      <rPr>
        <b/>
        <sz val="16"/>
        <color rgb="FFC00000"/>
        <rFont val="Calibri"/>
        <family val="2"/>
      </rPr>
      <t>200 m</t>
    </r>
    <r>
      <rPr>
        <sz val="16"/>
        <color theme="1"/>
        <rFont val="Calibri"/>
        <family val="2"/>
      </rPr>
      <t>, rest 2:30-3:00 between each.</t>
    </r>
    <phoneticPr fontId="1" type="noConversion"/>
  </si>
  <si>
    <r>
      <t xml:space="preserve">4-6 x </t>
    </r>
    <r>
      <rPr>
        <b/>
        <sz val="16"/>
        <color rgb="FFC00000"/>
        <rFont val="Calibri"/>
        <family val="2"/>
      </rPr>
      <t>300 m</t>
    </r>
    <r>
      <rPr>
        <sz val="16"/>
        <color theme="1"/>
        <rFont val="Calibri"/>
        <family val="2"/>
      </rPr>
      <t>, rest 3:30-4:00 between each.</t>
    </r>
    <phoneticPr fontId="1" type="noConversion"/>
  </si>
  <si>
    <t>-</t>
    <phoneticPr fontId="1" type="noConversion"/>
  </si>
  <si>
    <t>Run more at race pace or slightly faster than race pace speeds.</t>
    <phoneticPr fontId="1" type="noConversion"/>
  </si>
  <si>
    <t>(Version 6.0)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</si>
</sst>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%"/>
    <numFmt numFmtId="178" formatCode="0.00_ "/>
  </numFmts>
  <fonts count="4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rgb="FFFF0000"/>
      <name val="Calibri"/>
      <family val="2"/>
    </font>
    <font>
      <b/>
      <sz val="16"/>
      <color rgb="FF006600"/>
      <name val="Calibri"/>
      <family val="2"/>
    </font>
    <font>
      <b/>
      <sz val="16"/>
      <color rgb="FF000099"/>
      <name val="Calibri"/>
      <family val="2"/>
    </font>
    <font>
      <sz val="11"/>
      <color rgb="FFFF0000"/>
      <name val="Calibri"/>
      <family val="2"/>
    </font>
    <font>
      <b/>
      <sz val="18"/>
      <color rgb="FF00660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sz val="12"/>
      <color rgb="FF000099"/>
      <name val="Calibri"/>
      <family val="2"/>
    </font>
    <font>
      <sz val="11"/>
      <color rgb="FF000099"/>
      <name val="Calibri"/>
      <family val="2"/>
    </font>
    <font>
      <b/>
      <sz val="12"/>
      <color theme="1"/>
      <name val="Calibri"/>
      <family val="2"/>
    </font>
    <font>
      <b/>
      <u/>
      <sz val="18"/>
      <color theme="1"/>
      <name val="Calibri"/>
      <family val="2"/>
    </font>
    <font>
      <b/>
      <u/>
      <sz val="20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新細明體"/>
      <family val="2"/>
      <charset val="136"/>
      <scheme val="minor"/>
    </font>
    <font>
      <b/>
      <sz val="40"/>
      <color theme="1"/>
      <name val="Calibri"/>
      <family val="2"/>
    </font>
    <font>
      <sz val="14"/>
      <color rgb="FF000099"/>
      <name val="Calibri"/>
      <family val="2"/>
    </font>
    <font>
      <sz val="16"/>
      <color theme="1"/>
      <name val="新細明體"/>
      <family val="2"/>
      <charset val="136"/>
      <scheme val="minor"/>
    </font>
    <font>
      <sz val="16"/>
      <color rgb="FF000099"/>
      <name val="Calibri"/>
      <family val="2"/>
    </font>
    <font>
      <sz val="11"/>
      <name val="Calibri"/>
      <family val="2"/>
    </font>
    <font>
      <sz val="6"/>
      <color theme="1"/>
      <name val="Calibri"/>
      <family val="2"/>
    </font>
    <font>
      <sz val="6"/>
      <color theme="1"/>
      <name val="新細明體"/>
      <family val="2"/>
      <charset val="136"/>
      <scheme val="minor"/>
    </font>
    <font>
      <sz val="6"/>
      <color rgb="FFFF0000"/>
      <name val="Calibri"/>
      <family val="2"/>
    </font>
    <font>
      <sz val="6"/>
      <color rgb="FF000099"/>
      <name val="Calibri"/>
      <family val="2"/>
    </font>
    <font>
      <b/>
      <sz val="6"/>
      <color theme="1"/>
      <name val="Calibri"/>
      <family val="2"/>
    </font>
    <font>
      <b/>
      <sz val="6"/>
      <color rgb="FF000099"/>
      <name val="Calibri"/>
      <family val="2"/>
    </font>
    <font>
      <b/>
      <sz val="6"/>
      <color rgb="FFFF0000"/>
      <name val="Calibri"/>
      <family val="2"/>
    </font>
    <font>
      <b/>
      <sz val="6"/>
      <color rgb="FF006600"/>
      <name val="Calibri"/>
      <family val="2"/>
    </font>
    <font>
      <sz val="6"/>
      <name val="Calibri"/>
      <family val="2"/>
    </font>
    <font>
      <sz val="11"/>
      <color theme="1"/>
      <name val="Calibri"/>
      <family val="2"/>
    </font>
    <font>
      <sz val="11"/>
      <color theme="1"/>
      <name val="新細明體"/>
      <family val="2"/>
      <charset val="136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20"/>
      <color theme="1"/>
      <name val="Calibri"/>
      <family val="2"/>
    </font>
    <font>
      <sz val="16"/>
      <name val="Calibri"/>
      <family val="2"/>
    </font>
    <font>
      <b/>
      <sz val="16"/>
      <color rgb="FFC00000"/>
      <name val="Calibri"/>
      <family val="2"/>
    </font>
    <font>
      <sz val="16"/>
      <color rgb="FFFF0000"/>
      <name val="Calibri"/>
      <family val="2"/>
    </font>
    <font>
      <b/>
      <u/>
      <sz val="16"/>
      <color rgb="FFFF0000"/>
      <name val="Calibri"/>
      <family val="2"/>
    </font>
    <font>
      <b/>
      <u/>
      <sz val="16"/>
      <color rgb="FF000099"/>
      <name val="Calibri"/>
      <family val="2"/>
    </font>
    <font>
      <b/>
      <u/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176" fontId="4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2" xfId="0" applyFont="1" applyBorder="1">
      <alignment vertical="center"/>
    </xf>
    <xf numFmtId="2" fontId="6" fillId="0" borderId="0" xfId="0" applyNumberFormat="1" applyFont="1">
      <alignment vertical="center"/>
    </xf>
    <xf numFmtId="0" fontId="7" fillId="0" borderId="0" xfId="0" applyFont="1">
      <alignment vertical="center"/>
    </xf>
    <xf numFmtId="2" fontId="6" fillId="0" borderId="2" xfId="0" applyNumberFormat="1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8" fillId="0" borderId="5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2" fontId="4" fillId="0" borderId="0" xfId="0" applyNumberFormat="1" applyFont="1">
      <alignment vertical="center"/>
    </xf>
    <xf numFmtId="2" fontId="6" fillId="0" borderId="0" xfId="0" applyNumberFormat="1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0" fontId="23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27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2" fontId="28" fillId="0" borderId="0" xfId="0" applyNumberFormat="1" applyFont="1" applyBorder="1">
      <alignment vertical="center"/>
    </xf>
    <xf numFmtId="0" fontId="30" fillId="0" borderId="0" xfId="0" applyFont="1" applyBorder="1">
      <alignment vertical="center"/>
    </xf>
    <xf numFmtId="2" fontId="28" fillId="0" borderId="0" xfId="0" applyNumberFormat="1" applyFont="1">
      <alignment vertical="center"/>
    </xf>
    <xf numFmtId="0" fontId="2" fillId="0" borderId="2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32" fillId="0" borderId="0" xfId="0" applyFont="1" applyAlignment="1">
      <alignment horizontal="left"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32" fillId="0" borderId="0" xfId="0" applyFont="1" applyAlignment="1">
      <alignment horizontal="right" vertical="center"/>
    </xf>
    <xf numFmtId="0" fontId="34" fillId="0" borderId="2" xfId="0" applyFont="1" applyBorder="1" applyAlignment="1">
      <alignment horizontal="right" vertical="center"/>
    </xf>
    <xf numFmtId="0" fontId="35" fillId="0" borderId="0" xfId="0" applyFont="1" applyBorder="1">
      <alignment vertical="center"/>
    </xf>
    <xf numFmtId="0" fontId="3" fillId="0" borderId="0" xfId="0" applyFont="1">
      <alignment vertical="center"/>
    </xf>
    <xf numFmtId="176" fontId="2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37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38" fillId="0" borderId="0" xfId="0" applyFont="1">
      <alignment vertical="center"/>
    </xf>
    <xf numFmtId="9" fontId="2" fillId="0" borderId="0" xfId="0" applyNumberFormat="1" applyFont="1" applyAlignment="1">
      <alignment horizontal="left" vertical="center"/>
    </xf>
    <xf numFmtId="9" fontId="6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0" fontId="6" fillId="0" borderId="0" xfId="0" applyNumberFormat="1" applyFont="1" applyAlignment="1">
      <alignment horizontal="right" vertical="center"/>
    </xf>
    <xf numFmtId="0" fontId="39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left" vertical="center" indent="1"/>
    </xf>
    <xf numFmtId="176" fontId="8" fillId="0" borderId="0" xfId="0" applyNumberFormat="1" applyFont="1">
      <alignment vertical="center"/>
    </xf>
    <xf numFmtId="1" fontId="8" fillId="0" borderId="0" xfId="0" applyNumberFormat="1" applyFont="1">
      <alignment vertical="center"/>
    </xf>
    <xf numFmtId="1" fontId="8" fillId="0" borderId="5" xfId="0" applyNumberFormat="1" applyFont="1" applyBorder="1">
      <alignment vertical="center"/>
    </xf>
    <xf numFmtId="176" fontId="8" fillId="0" borderId="5" xfId="0" applyNumberFormat="1" applyFont="1" applyBorder="1">
      <alignment vertical="center"/>
    </xf>
    <xf numFmtId="0" fontId="37" fillId="0" borderId="0" xfId="0" applyFont="1">
      <alignment vertical="center"/>
    </xf>
    <xf numFmtId="177" fontId="6" fillId="0" borderId="0" xfId="0" applyNumberFormat="1" applyFont="1">
      <alignment vertical="center"/>
    </xf>
    <xf numFmtId="0" fontId="6" fillId="0" borderId="0" xfId="0" applyNumberFormat="1" applyFont="1">
      <alignment vertical="center"/>
    </xf>
    <xf numFmtId="9" fontId="0" fillId="0" borderId="0" xfId="0" applyNumberFormat="1">
      <alignment vertical="center"/>
    </xf>
    <xf numFmtId="2" fontId="0" fillId="0" borderId="0" xfId="0" applyNumberFormat="1">
      <alignment vertical="center"/>
    </xf>
    <xf numFmtId="1" fontId="0" fillId="0" borderId="0" xfId="0" applyNumberFormat="1">
      <alignment vertical="center"/>
    </xf>
    <xf numFmtId="1" fontId="6" fillId="0" borderId="0" xfId="0" applyNumberFormat="1" applyFont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6" fontId="6" fillId="0" borderId="0" xfId="0" applyNumberFormat="1" applyFont="1">
      <alignment vertical="center"/>
    </xf>
    <xf numFmtId="1" fontId="8" fillId="0" borderId="0" xfId="0" applyNumberFormat="1" applyFont="1" applyBorder="1">
      <alignment vertical="center"/>
    </xf>
    <xf numFmtId="176" fontId="8" fillId="0" borderId="0" xfId="0" applyNumberFormat="1" applyFont="1" applyBorder="1">
      <alignment vertical="center"/>
    </xf>
    <xf numFmtId="0" fontId="38" fillId="0" borderId="0" xfId="0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8" fillId="2" borderId="4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660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40F8D-04B0-4031-A8A6-676672AD6B2F}">
  <dimension ref="A1:K245"/>
  <sheetViews>
    <sheetView tabSelected="1" workbookViewId="0">
      <selection activeCell="L3" sqref="L3"/>
    </sheetView>
  </sheetViews>
  <sheetFormatPr defaultRowHeight="21" x14ac:dyDescent="0.25"/>
  <cols>
    <col min="1" max="2" width="9" style="1"/>
    <col min="3" max="3" width="5.25" style="1" customWidth="1"/>
    <col min="4" max="4" width="9" style="1" customWidth="1"/>
    <col min="5" max="5" width="11" style="1" customWidth="1"/>
    <col min="6" max="6" width="9" style="1"/>
    <col min="7" max="7" width="8.5" style="1" customWidth="1"/>
    <col min="8" max="8" width="5.375" style="1" customWidth="1"/>
    <col min="9" max="9" width="5.5" style="1" customWidth="1"/>
    <col min="10" max="10" width="9" style="1"/>
    <col min="11" max="11" width="8.25" style="1" customWidth="1"/>
  </cols>
  <sheetData>
    <row r="1" spans="1:11" ht="51.75" thickBot="1" x14ac:dyDescent="0.3">
      <c r="A1" s="98" t="s">
        <v>49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s="41" customFormat="1" ht="8.25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23.25" x14ac:dyDescent="0.25">
      <c r="A3" s="25" t="s">
        <v>15</v>
      </c>
      <c r="K3" s="22" t="s">
        <v>260</v>
      </c>
    </row>
    <row r="4" spans="1:11" ht="16.5" x14ac:dyDescent="0.25">
      <c r="A4" s="39" t="s">
        <v>61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s="41" customFormat="1" ht="8.25" x14ac:dyDescent="0.25">
      <c r="A5" s="57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ht="18.75" x14ac:dyDescent="0.25">
      <c r="A6" s="27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18.75" x14ac:dyDescent="0.25">
      <c r="A7" s="19"/>
      <c r="B7" s="19"/>
      <c r="C7" s="19"/>
      <c r="D7" s="19"/>
      <c r="E7" s="19"/>
      <c r="F7" s="20" t="s">
        <v>23</v>
      </c>
      <c r="G7" s="19" t="s">
        <v>45</v>
      </c>
      <c r="H7" s="19"/>
      <c r="I7" s="19"/>
      <c r="J7" s="19"/>
      <c r="K7" s="19"/>
    </row>
    <row r="8" spans="1:11" ht="18.75" x14ac:dyDescent="0.25">
      <c r="A8" s="19"/>
      <c r="B8" s="19"/>
      <c r="C8" s="19"/>
      <c r="D8" s="19"/>
      <c r="E8" s="19"/>
      <c r="F8" s="20" t="s">
        <v>24</v>
      </c>
      <c r="G8" s="19" t="s">
        <v>2</v>
      </c>
      <c r="H8" s="19"/>
      <c r="I8" s="19"/>
      <c r="J8" s="19"/>
      <c r="K8" s="19"/>
    </row>
    <row r="9" spans="1:11" ht="18.75" x14ac:dyDescent="0.25">
      <c r="A9" s="19"/>
      <c r="B9" s="19"/>
      <c r="C9" s="19"/>
      <c r="D9" s="19"/>
      <c r="E9" s="19"/>
      <c r="F9" s="20" t="s">
        <v>25</v>
      </c>
      <c r="G9" s="19" t="s">
        <v>3</v>
      </c>
      <c r="H9" s="19"/>
      <c r="I9" s="19"/>
      <c r="J9" s="19"/>
      <c r="K9" s="19"/>
    </row>
    <row r="10" spans="1:11" ht="18.75" x14ac:dyDescent="0.25">
      <c r="A10" s="19"/>
      <c r="B10" s="19"/>
      <c r="C10" s="19"/>
      <c r="D10" s="19"/>
      <c r="E10" s="19"/>
      <c r="F10" s="20" t="s">
        <v>26</v>
      </c>
      <c r="G10" s="19" t="s">
        <v>4</v>
      </c>
      <c r="H10" s="19"/>
      <c r="I10" s="19"/>
      <c r="J10" s="19"/>
      <c r="K10" s="19"/>
    </row>
    <row r="11" spans="1:11" s="41" customFormat="1" ht="8.25" x14ac:dyDescent="0.25">
      <c r="A11" s="44"/>
      <c r="B11" s="44"/>
      <c r="C11" s="44"/>
      <c r="D11" s="44"/>
      <c r="E11" s="44"/>
      <c r="F11" s="42"/>
      <c r="G11" s="44"/>
      <c r="H11" s="44"/>
      <c r="I11" s="44"/>
      <c r="J11" s="44"/>
      <c r="K11" s="44"/>
    </row>
    <row r="12" spans="1:11" ht="18.75" x14ac:dyDescent="0.25">
      <c r="A12" s="27" t="s">
        <v>46</v>
      </c>
      <c r="B12" s="19"/>
      <c r="C12" s="19"/>
      <c r="D12" s="20"/>
      <c r="E12" s="29"/>
      <c r="F12" s="19"/>
      <c r="G12" s="19"/>
      <c r="H12" s="19"/>
      <c r="I12" s="19"/>
      <c r="J12" s="19"/>
      <c r="K12" s="19"/>
    </row>
    <row r="13" spans="1:11" s="41" customFormat="1" ht="8.25" x14ac:dyDescent="0.25">
      <c r="A13" s="58"/>
      <c r="B13" s="44"/>
      <c r="C13" s="44"/>
      <c r="D13" s="42"/>
      <c r="E13" s="46"/>
      <c r="F13" s="44"/>
      <c r="G13" s="44"/>
      <c r="H13" s="44"/>
      <c r="I13" s="44"/>
      <c r="J13" s="44"/>
      <c r="K13" s="44"/>
    </row>
    <row r="14" spans="1:11" ht="18.75" x14ac:dyDescent="0.25">
      <c r="A14" s="27" t="s">
        <v>47</v>
      </c>
      <c r="B14" s="19"/>
      <c r="C14" s="19"/>
      <c r="D14" s="20"/>
      <c r="E14" s="29"/>
      <c r="F14" s="19"/>
      <c r="G14" s="19"/>
      <c r="H14" s="19"/>
      <c r="I14" s="19"/>
      <c r="J14" s="19"/>
      <c r="K14" s="19"/>
    </row>
    <row r="15" spans="1:11" ht="16.5" x14ac:dyDescent="0.25">
      <c r="A15" s="30" t="s">
        <v>28</v>
      </c>
      <c r="B15" s="23"/>
      <c r="C15" s="23"/>
      <c r="D15" s="23"/>
      <c r="E15" s="32"/>
      <c r="F15" s="23"/>
      <c r="G15" s="23"/>
      <c r="H15" s="23"/>
      <c r="I15" s="23"/>
      <c r="J15" s="23"/>
      <c r="K15" s="21"/>
    </row>
    <row r="16" spans="1:11" s="41" customFormat="1" ht="8.25" x14ac:dyDescent="0.25">
      <c r="A16" s="40"/>
      <c r="B16" s="44"/>
      <c r="C16" s="44"/>
      <c r="D16" s="44"/>
      <c r="E16" s="46"/>
      <c r="F16" s="44"/>
      <c r="G16" s="44"/>
      <c r="H16" s="44"/>
      <c r="I16" s="44"/>
      <c r="J16" s="44"/>
      <c r="K16" s="45"/>
    </row>
    <row r="17" spans="1:11" s="28" customFormat="1" ht="19.5" x14ac:dyDescent="0.25">
      <c r="A17" s="50" t="s">
        <v>62</v>
      </c>
      <c r="B17" s="19"/>
      <c r="C17" s="19"/>
      <c r="D17" s="19"/>
      <c r="E17" s="29"/>
      <c r="F17" s="19"/>
      <c r="G17" s="19"/>
      <c r="H17" s="19"/>
      <c r="I17" s="19"/>
      <c r="J17" s="19"/>
      <c r="K17" s="35"/>
    </row>
    <row r="18" spans="1:11" s="31" customFormat="1" ht="16.5" x14ac:dyDescent="0.25">
      <c r="A18" s="30" t="s">
        <v>67</v>
      </c>
      <c r="B18" s="23"/>
      <c r="C18" s="23"/>
      <c r="D18" s="23"/>
      <c r="E18" s="32"/>
      <c r="F18" s="23"/>
      <c r="G18" s="23"/>
      <c r="H18" s="23"/>
      <c r="I18" s="23"/>
      <c r="J18" s="23"/>
      <c r="K18" s="21"/>
    </row>
    <row r="19" spans="1:11" s="41" customFormat="1" ht="8.25" x14ac:dyDescent="0.25">
      <c r="A19" s="40"/>
      <c r="B19" s="44"/>
      <c r="C19" s="44"/>
      <c r="D19" s="44"/>
      <c r="E19" s="46"/>
      <c r="F19" s="44"/>
      <c r="G19" s="44"/>
      <c r="H19" s="44"/>
      <c r="I19" s="44"/>
      <c r="J19" s="44"/>
      <c r="K19" s="45"/>
    </row>
    <row r="20" spans="1:11" s="36" customFormat="1" x14ac:dyDescent="0.25">
      <c r="A20" s="11"/>
      <c r="B20" s="9"/>
      <c r="C20" s="9"/>
      <c r="D20" s="9"/>
      <c r="E20" s="9"/>
      <c r="F20" s="16" t="s">
        <v>71</v>
      </c>
      <c r="G20" s="12"/>
      <c r="H20" s="9"/>
      <c r="I20" s="9"/>
      <c r="J20" s="9"/>
      <c r="K20" s="10"/>
    </row>
    <row r="21" spans="1:11" s="41" customFormat="1" ht="8.25" x14ac:dyDescent="0.25">
      <c r="A21" s="47"/>
      <c r="B21" s="47"/>
      <c r="C21" s="47"/>
      <c r="D21" s="47"/>
      <c r="E21" s="47"/>
      <c r="F21" s="48"/>
      <c r="G21" s="49"/>
      <c r="H21" s="47"/>
      <c r="I21" s="47"/>
      <c r="J21" s="47"/>
      <c r="K21" s="47"/>
    </row>
    <row r="22" spans="1:11" s="62" customFormat="1" ht="15.75" x14ac:dyDescent="0.25">
      <c r="A22" s="59"/>
      <c r="B22" s="60"/>
      <c r="C22" s="60"/>
      <c r="D22" s="14" t="s">
        <v>66</v>
      </c>
      <c r="E22" s="61"/>
      <c r="F22" s="60"/>
      <c r="G22" s="60"/>
      <c r="H22" s="60"/>
      <c r="I22" s="60"/>
      <c r="J22" s="60"/>
      <c r="K22" s="22"/>
    </row>
    <row r="23" spans="1:11" s="36" customFormat="1" ht="23.25" x14ac:dyDescent="0.25">
      <c r="A23" s="37"/>
      <c r="C23" s="3" t="s">
        <v>50</v>
      </c>
      <c r="D23" s="18">
        <v>179</v>
      </c>
      <c r="E23" s="1" t="s">
        <v>52</v>
      </c>
      <c r="G23" s="3" t="s">
        <v>54</v>
      </c>
      <c r="H23" s="96">
        <f>D25/((D23/100)*(D23/100))</f>
        <v>18.726007303142847</v>
      </c>
      <c r="I23" s="96"/>
      <c r="J23" s="2" t="str">
        <f>IF(H23&gt;=25,"(Fat)",IF(H23&gt;=23,"(Overweight)",IF(H23&gt;=18.5,"(Normal)","(Underweight)")))</f>
        <v>(Normal)</v>
      </c>
      <c r="K23" s="38"/>
    </row>
    <row r="24" spans="1:11" s="41" customFormat="1" ht="8.25" x14ac:dyDescent="0.25">
      <c r="A24" s="40"/>
      <c r="C24" s="42"/>
      <c r="D24" s="43"/>
      <c r="E24" s="44"/>
      <c r="F24" s="44"/>
      <c r="G24" s="44"/>
      <c r="H24" s="44"/>
      <c r="I24" s="44"/>
      <c r="J24" s="44"/>
      <c r="K24" s="45"/>
    </row>
    <row r="25" spans="1:11" s="36" customFormat="1" ht="23.25" x14ac:dyDescent="0.25">
      <c r="A25" s="37"/>
      <c r="C25" s="3" t="s">
        <v>51</v>
      </c>
      <c r="D25" s="18">
        <v>60</v>
      </c>
      <c r="E25" s="1" t="s">
        <v>53</v>
      </c>
      <c r="F25" s="1"/>
      <c r="G25" s="1"/>
      <c r="H25" s="1"/>
      <c r="I25" s="1"/>
      <c r="J25" s="1"/>
      <c r="K25" s="38"/>
    </row>
    <row r="26" spans="1:11" s="41" customFormat="1" ht="8.25" x14ac:dyDescent="0.25">
      <c r="A26" s="40"/>
      <c r="B26" s="44"/>
      <c r="C26" s="44"/>
      <c r="D26" s="43"/>
      <c r="E26" s="46"/>
      <c r="F26" s="44"/>
      <c r="G26" s="44"/>
      <c r="H26" s="44"/>
      <c r="I26" s="44"/>
      <c r="J26" s="44"/>
      <c r="K26" s="45"/>
    </row>
    <row r="27" spans="1:11" s="36" customFormat="1" ht="23.25" x14ac:dyDescent="0.25">
      <c r="A27" s="37"/>
      <c r="B27" s="1"/>
      <c r="C27" s="1" t="s">
        <v>55</v>
      </c>
      <c r="D27" s="18">
        <v>58</v>
      </c>
      <c r="E27" s="6"/>
      <c r="F27" s="1"/>
      <c r="G27" s="3" t="s">
        <v>60</v>
      </c>
      <c r="H27" s="97">
        <f>220-D27</f>
        <v>162</v>
      </c>
      <c r="I27" s="97"/>
      <c r="J27" s="1" t="s">
        <v>57</v>
      </c>
      <c r="K27" s="38"/>
    </row>
    <row r="28" spans="1:11" s="41" customFormat="1" ht="8.25" x14ac:dyDescent="0.25">
      <c r="A28" s="40"/>
      <c r="B28" s="44"/>
      <c r="C28" s="44"/>
      <c r="D28" s="43"/>
      <c r="E28" s="46"/>
      <c r="F28" s="44"/>
      <c r="G28" s="44"/>
      <c r="H28" s="44"/>
      <c r="I28" s="44"/>
      <c r="J28" s="44"/>
      <c r="K28" s="45"/>
    </row>
    <row r="29" spans="1:11" s="36" customFormat="1" ht="23.25" x14ac:dyDescent="0.25">
      <c r="A29" s="37"/>
      <c r="B29" s="1"/>
      <c r="C29" s="3" t="s">
        <v>56</v>
      </c>
      <c r="D29" s="18">
        <v>56</v>
      </c>
      <c r="E29" s="37" t="s">
        <v>57</v>
      </c>
      <c r="F29" s="1"/>
      <c r="G29" s="3" t="s">
        <v>59</v>
      </c>
      <c r="H29" s="96">
        <f>15*H27/D29</f>
        <v>43.392857142857146</v>
      </c>
      <c r="I29" s="96"/>
      <c r="J29" s="1" t="s">
        <v>58</v>
      </c>
      <c r="K29" s="38"/>
    </row>
    <row r="30" spans="1:11" s="41" customFormat="1" ht="8.25" x14ac:dyDescent="0.25">
      <c r="A30" s="40"/>
      <c r="B30" s="44"/>
      <c r="C30" s="44"/>
      <c r="D30" s="44"/>
      <c r="E30" s="40"/>
      <c r="F30" s="44"/>
      <c r="G30" s="44"/>
      <c r="H30" s="44"/>
      <c r="I30" s="44"/>
      <c r="J30" s="44"/>
      <c r="K30" s="45"/>
    </row>
    <row r="31" spans="1:11" x14ac:dyDescent="0.25">
      <c r="A31" s="11"/>
      <c r="B31" s="9"/>
      <c r="C31" s="9"/>
      <c r="D31" s="9"/>
      <c r="E31" s="9"/>
      <c r="F31" s="16" t="s">
        <v>16</v>
      </c>
      <c r="G31" s="12" t="s">
        <v>11</v>
      </c>
      <c r="H31" s="9"/>
      <c r="I31" s="9"/>
      <c r="J31" s="9"/>
      <c r="K31" s="10"/>
    </row>
    <row r="32" spans="1:11" s="41" customFormat="1" ht="8.25" x14ac:dyDescent="0.25">
      <c r="A32" s="47"/>
      <c r="B32" s="47"/>
      <c r="C32" s="47"/>
      <c r="D32" s="47"/>
      <c r="E32" s="47"/>
      <c r="F32" s="51"/>
      <c r="G32" s="49"/>
      <c r="H32" s="47"/>
      <c r="I32" s="47"/>
      <c r="J32" s="47"/>
      <c r="K32" s="47"/>
    </row>
    <row r="33" spans="1:11" s="62" customFormat="1" ht="15.75" x14ac:dyDescent="0.25">
      <c r="A33" s="60"/>
      <c r="B33" s="60"/>
      <c r="C33" s="60"/>
      <c r="D33" s="60"/>
      <c r="E33" s="60"/>
      <c r="F33" s="60"/>
      <c r="G33" s="14" t="s">
        <v>72</v>
      </c>
      <c r="H33" s="60"/>
      <c r="I33" s="60"/>
      <c r="J33" s="60"/>
      <c r="K33" s="60"/>
    </row>
    <row r="34" spans="1:11" ht="23.25" x14ac:dyDescent="0.25">
      <c r="F34" s="3" t="s">
        <v>12</v>
      </c>
      <c r="G34" s="18">
        <v>1544</v>
      </c>
      <c r="H34" s="1" t="s">
        <v>13</v>
      </c>
      <c r="I34" s="14"/>
    </row>
    <row r="35" spans="1:11" s="41" customFormat="1" ht="8.25" x14ac:dyDescent="0.25">
      <c r="A35" s="44"/>
      <c r="B35" s="44"/>
      <c r="C35" s="44"/>
      <c r="D35" s="44"/>
      <c r="E35" s="44"/>
      <c r="F35" s="42"/>
      <c r="G35" s="54"/>
      <c r="H35" s="44"/>
      <c r="I35" s="43"/>
      <c r="J35" s="44"/>
      <c r="K35" s="44"/>
    </row>
    <row r="36" spans="1:11" x14ac:dyDescent="0.25">
      <c r="F36" s="3" t="s">
        <v>69</v>
      </c>
      <c r="G36" s="13">
        <f>G34/360</f>
        <v>4.2888888888888888</v>
      </c>
      <c r="H36" s="1" t="s">
        <v>14</v>
      </c>
      <c r="I36" s="6" t="s">
        <v>17</v>
      </c>
      <c r="J36" s="13">
        <f>G36/1000*60*60</f>
        <v>15.440000000000001</v>
      </c>
      <c r="K36" s="1" t="s">
        <v>22</v>
      </c>
    </row>
    <row r="37" spans="1:11" s="41" customFormat="1" ht="8.25" x14ac:dyDescent="0.25">
      <c r="A37" s="44"/>
      <c r="B37" s="44"/>
      <c r="C37" s="44"/>
      <c r="D37" s="44"/>
      <c r="E37" s="44"/>
      <c r="F37" s="42"/>
      <c r="G37" s="55"/>
      <c r="H37" s="44"/>
      <c r="I37" s="44"/>
      <c r="J37" s="44"/>
      <c r="K37" s="44"/>
    </row>
    <row r="38" spans="1:11" x14ac:dyDescent="0.25">
      <c r="A38" s="11"/>
      <c r="B38" s="9"/>
      <c r="C38" s="9"/>
      <c r="D38" s="9"/>
      <c r="E38" s="9"/>
      <c r="F38" s="17" t="s">
        <v>19</v>
      </c>
      <c r="G38" s="15" t="s">
        <v>18</v>
      </c>
      <c r="H38" s="9"/>
      <c r="I38" s="9"/>
      <c r="J38" s="9"/>
      <c r="K38" s="10"/>
    </row>
    <row r="39" spans="1:11" s="41" customFormat="1" ht="8.25" x14ac:dyDescent="0.25">
      <c r="A39" s="47"/>
      <c r="B39" s="47"/>
      <c r="C39" s="47"/>
      <c r="D39" s="47"/>
      <c r="E39" s="47"/>
      <c r="F39" s="52"/>
      <c r="G39" s="53"/>
      <c r="H39" s="47"/>
      <c r="I39" s="47"/>
      <c r="J39" s="47"/>
      <c r="K39" s="47"/>
    </row>
    <row r="40" spans="1:11" s="62" customFormat="1" ht="15.75" x14ac:dyDescent="0.25">
      <c r="A40" s="60"/>
      <c r="B40" s="60"/>
      <c r="C40" s="60"/>
      <c r="D40" s="60"/>
      <c r="E40" s="60"/>
      <c r="F40" s="63"/>
      <c r="G40" s="14" t="s">
        <v>73</v>
      </c>
      <c r="H40" s="60"/>
      <c r="I40" s="60"/>
      <c r="J40" s="60"/>
      <c r="K40" s="60"/>
    </row>
    <row r="41" spans="1:11" ht="23.25" x14ac:dyDescent="0.25">
      <c r="F41" s="3" t="s">
        <v>20</v>
      </c>
      <c r="G41" s="18">
        <v>12</v>
      </c>
      <c r="H41" s="1" t="s">
        <v>1</v>
      </c>
      <c r="I41" s="18">
        <v>45</v>
      </c>
      <c r="J41" s="1" t="s">
        <v>0</v>
      </c>
      <c r="K41"/>
    </row>
    <row r="42" spans="1:11" s="41" customFormat="1" ht="8.25" x14ac:dyDescent="0.25">
      <c r="A42" s="44"/>
      <c r="B42" s="44"/>
      <c r="C42" s="44"/>
      <c r="D42" s="44"/>
      <c r="E42" s="44"/>
      <c r="F42" s="42"/>
      <c r="G42" s="54"/>
      <c r="H42" s="44"/>
      <c r="I42" s="54"/>
      <c r="J42" s="44"/>
    </row>
    <row r="43" spans="1:11" x14ac:dyDescent="0.25">
      <c r="F43" s="3" t="s">
        <v>48</v>
      </c>
      <c r="G43" s="34">
        <f>3000/((60*G41)+I41)</f>
        <v>3.9215686274509802</v>
      </c>
      <c r="H43" s="1" t="s">
        <v>14</v>
      </c>
      <c r="I43" s="6" t="s">
        <v>17</v>
      </c>
      <c r="J43" s="13">
        <f>G43/1000*60*60</f>
        <v>14.117647058823529</v>
      </c>
      <c r="K43" s="1" t="s">
        <v>22</v>
      </c>
    </row>
    <row r="44" spans="1:11" x14ac:dyDescent="0.25">
      <c r="F44" s="3" t="s">
        <v>68</v>
      </c>
      <c r="G44" s="13">
        <f>(J43-0.646-(0.416*J36))/0.626</f>
        <v>11.259755685021609</v>
      </c>
      <c r="H44" s="1" t="s">
        <v>22</v>
      </c>
    </row>
    <row r="45" spans="1:11" s="41" customFormat="1" ht="8.25" x14ac:dyDescent="0.25">
      <c r="A45" s="44"/>
      <c r="B45" s="44"/>
      <c r="C45" s="44"/>
      <c r="D45" s="44"/>
      <c r="E45" s="44"/>
      <c r="F45" s="42"/>
      <c r="G45" s="55"/>
      <c r="H45" s="44"/>
      <c r="I45" s="44"/>
      <c r="J45" s="44"/>
      <c r="K45" s="44"/>
    </row>
    <row r="46" spans="1:11" x14ac:dyDescent="0.25">
      <c r="F46" s="3" t="s">
        <v>29</v>
      </c>
      <c r="G46" s="33">
        <f>G44/J36*100</f>
        <v>72.925878789000052</v>
      </c>
      <c r="H46" s="1" t="s">
        <v>21</v>
      </c>
    </row>
    <row r="47" spans="1:11" s="41" customFormat="1" ht="8.25" x14ac:dyDescent="0.25">
      <c r="A47" s="44"/>
      <c r="B47" s="44"/>
      <c r="C47" s="44"/>
      <c r="D47" s="44"/>
      <c r="E47" s="44"/>
      <c r="F47" s="42"/>
      <c r="G47" s="55"/>
      <c r="H47" s="44"/>
      <c r="I47" s="44"/>
      <c r="J47" s="44"/>
      <c r="K47" s="44"/>
    </row>
    <row r="48" spans="1:11" x14ac:dyDescent="0.25">
      <c r="A48" s="7" t="s">
        <v>5</v>
      </c>
      <c r="B48" s="8">
        <v>120</v>
      </c>
      <c r="C48" s="9" t="s">
        <v>6</v>
      </c>
      <c r="D48" s="9"/>
      <c r="E48" s="9"/>
      <c r="F48" s="15">
        <f>$G$36*B48/100</f>
        <v>5.1466666666666665</v>
      </c>
      <c r="G48" s="9" t="s">
        <v>7</v>
      </c>
      <c r="H48" s="9"/>
      <c r="I48" s="56" t="s">
        <v>17</v>
      </c>
      <c r="J48" s="15">
        <f>F48/1000*60*60</f>
        <v>18.528000000000002</v>
      </c>
      <c r="K48" s="10" t="s">
        <v>22</v>
      </c>
    </row>
    <row r="49" spans="1:11" x14ac:dyDescent="0.25">
      <c r="B49" s="1" t="s">
        <v>8</v>
      </c>
      <c r="D49" s="4">
        <v>100</v>
      </c>
      <c r="E49" s="1" t="s">
        <v>9</v>
      </c>
      <c r="F49" s="5">
        <f>D49/F$48</f>
        <v>19.430051813471504</v>
      </c>
      <c r="G49" s="1" t="s">
        <v>10</v>
      </c>
      <c r="H49" s="2">
        <f>INT(F49/60)</f>
        <v>0</v>
      </c>
      <c r="I49" s="1" t="s">
        <v>1</v>
      </c>
      <c r="J49" s="78" t="str">
        <f>TEXT(MOD(ROUNDDOWN(F49,2),60),"00.0")</f>
        <v>19.4</v>
      </c>
      <c r="K49" s="1" t="s">
        <v>0</v>
      </c>
    </row>
    <row r="50" spans="1:11" x14ac:dyDescent="0.25">
      <c r="B50" s="1" t="s">
        <v>8</v>
      </c>
      <c r="D50" s="4">
        <v>200</v>
      </c>
      <c r="E50" s="1" t="s">
        <v>9</v>
      </c>
      <c r="F50" s="5">
        <f t="shared" ref="F50:F58" si="0">D50/F$48</f>
        <v>38.860103626943008</v>
      </c>
      <c r="G50" s="1" t="s">
        <v>10</v>
      </c>
      <c r="H50" s="2">
        <f t="shared" ref="H50:H58" si="1">INT(F50/60)</f>
        <v>0</v>
      </c>
      <c r="I50" s="1" t="s">
        <v>1</v>
      </c>
      <c r="J50" s="78" t="str">
        <f t="shared" ref="J50:J58" si="2">TEXT(MOD(ROUNDDOWN(F50,2),60),"00.0")</f>
        <v>38.9</v>
      </c>
      <c r="K50" s="1" t="s">
        <v>0</v>
      </c>
    </row>
    <row r="51" spans="1:11" x14ac:dyDescent="0.25">
      <c r="B51" s="1" t="s">
        <v>8</v>
      </c>
      <c r="D51" s="4">
        <v>300</v>
      </c>
      <c r="E51" s="1" t="s">
        <v>9</v>
      </c>
      <c r="F51" s="5">
        <f t="shared" si="0"/>
        <v>58.290155440414509</v>
      </c>
      <c r="G51" s="1" t="s">
        <v>10</v>
      </c>
      <c r="H51" s="2">
        <f t="shared" si="1"/>
        <v>0</v>
      </c>
      <c r="I51" s="1" t="s">
        <v>1</v>
      </c>
      <c r="J51" s="78" t="str">
        <f t="shared" si="2"/>
        <v>58.3</v>
      </c>
      <c r="K51" s="1" t="s">
        <v>0</v>
      </c>
    </row>
    <row r="52" spans="1:11" x14ac:dyDescent="0.25">
      <c r="B52" s="1" t="s">
        <v>8</v>
      </c>
      <c r="D52" s="4">
        <v>400</v>
      </c>
      <c r="E52" s="1" t="s">
        <v>9</v>
      </c>
      <c r="F52" s="5">
        <f t="shared" si="0"/>
        <v>77.720207253886016</v>
      </c>
      <c r="G52" s="1" t="s">
        <v>10</v>
      </c>
      <c r="H52" s="2">
        <f t="shared" si="1"/>
        <v>1</v>
      </c>
      <c r="I52" s="1" t="s">
        <v>1</v>
      </c>
      <c r="J52" s="78" t="str">
        <f t="shared" si="2"/>
        <v>17.7</v>
      </c>
      <c r="K52" s="1" t="s">
        <v>0</v>
      </c>
    </row>
    <row r="53" spans="1:11" x14ac:dyDescent="0.25">
      <c r="B53" s="1" t="s">
        <v>8</v>
      </c>
      <c r="D53" s="4">
        <v>600</v>
      </c>
      <c r="E53" s="1" t="s">
        <v>9</v>
      </c>
      <c r="F53" s="5">
        <f t="shared" si="0"/>
        <v>116.58031088082902</v>
      </c>
      <c r="G53" s="1" t="s">
        <v>10</v>
      </c>
      <c r="H53" s="2">
        <f t="shared" si="1"/>
        <v>1</v>
      </c>
      <c r="I53" s="1" t="s">
        <v>1</v>
      </c>
      <c r="J53" s="78" t="str">
        <f t="shared" si="2"/>
        <v>56.6</v>
      </c>
      <c r="K53" s="1" t="s">
        <v>0</v>
      </c>
    </row>
    <row r="54" spans="1:11" x14ac:dyDescent="0.25">
      <c r="B54" s="1" t="s">
        <v>8</v>
      </c>
      <c r="D54" s="4">
        <v>800</v>
      </c>
      <c r="E54" s="1" t="s">
        <v>9</v>
      </c>
      <c r="F54" s="5">
        <f t="shared" si="0"/>
        <v>155.44041450777203</v>
      </c>
      <c r="G54" s="1" t="s">
        <v>10</v>
      </c>
      <c r="H54" s="2">
        <f t="shared" si="1"/>
        <v>2</v>
      </c>
      <c r="I54" s="1" t="s">
        <v>1</v>
      </c>
      <c r="J54" s="78" t="str">
        <f t="shared" si="2"/>
        <v>35.4</v>
      </c>
      <c r="K54" s="1" t="s">
        <v>0</v>
      </c>
    </row>
    <row r="55" spans="1:11" x14ac:dyDescent="0.25">
      <c r="B55" s="1" t="s">
        <v>8</v>
      </c>
      <c r="D55" s="4">
        <v>1000</v>
      </c>
      <c r="E55" s="1" t="s">
        <v>9</v>
      </c>
      <c r="F55" s="5">
        <f t="shared" si="0"/>
        <v>194.30051813471502</v>
      </c>
      <c r="G55" s="1" t="s">
        <v>10</v>
      </c>
      <c r="H55" s="2">
        <f t="shared" si="1"/>
        <v>3</v>
      </c>
      <c r="I55" s="1" t="s">
        <v>1</v>
      </c>
      <c r="J55" s="78" t="str">
        <f t="shared" si="2"/>
        <v>14.3</v>
      </c>
      <c r="K55" s="1" t="s">
        <v>0</v>
      </c>
    </row>
    <row r="56" spans="1:11" x14ac:dyDescent="0.25">
      <c r="B56" s="1" t="s">
        <v>8</v>
      </c>
      <c r="D56" s="4">
        <v>1200</v>
      </c>
      <c r="E56" s="1" t="s">
        <v>9</v>
      </c>
      <c r="F56" s="5">
        <f t="shared" si="0"/>
        <v>233.16062176165804</v>
      </c>
      <c r="G56" s="1" t="s">
        <v>10</v>
      </c>
      <c r="H56" s="2">
        <f t="shared" si="1"/>
        <v>3</v>
      </c>
      <c r="I56" s="1" t="s">
        <v>1</v>
      </c>
      <c r="J56" s="78" t="str">
        <f t="shared" si="2"/>
        <v>53.2</v>
      </c>
      <c r="K56" s="1" t="s">
        <v>0</v>
      </c>
    </row>
    <row r="57" spans="1:11" x14ac:dyDescent="0.25">
      <c r="B57" s="1" t="s">
        <v>8</v>
      </c>
      <c r="D57" s="4">
        <v>1600</v>
      </c>
      <c r="E57" s="1" t="s">
        <v>9</v>
      </c>
      <c r="F57" s="5">
        <f t="shared" si="0"/>
        <v>310.88082901554407</v>
      </c>
      <c r="G57" s="1" t="s">
        <v>10</v>
      </c>
      <c r="H57" s="2">
        <f t="shared" si="1"/>
        <v>5</v>
      </c>
      <c r="I57" s="1" t="s">
        <v>1</v>
      </c>
      <c r="J57" s="78" t="str">
        <f t="shared" si="2"/>
        <v>10.9</v>
      </c>
      <c r="K57" s="1" t="s">
        <v>0</v>
      </c>
    </row>
    <row r="58" spans="1:11" x14ac:dyDescent="0.25">
      <c r="B58" s="1" t="s">
        <v>8</v>
      </c>
      <c r="D58" s="4">
        <v>2000</v>
      </c>
      <c r="E58" s="1" t="s">
        <v>9</v>
      </c>
      <c r="F58" s="5">
        <f t="shared" si="0"/>
        <v>388.60103626943004</v>
      </c>
      <c r="G58" s="1" t="s">
        <v>10</v>
      </c>
      <c r="H58" s="2">
        <f t="shared" si="1"/>
        <v>6</v>
      </c>
      <c r="I58" s="1" t="s">
        <v>1</v>
      </c>
      <c r="J58" s="78" t="str">
        <f t="shared" si="2"/>
        <v>28.6</v>
      </c>
      <c r="K58" s="1" t="s">
        <v>0</v>
      </c>
    </row>
    <row r="59" spans="1:11" x14ac:dyDescent="0.25">
      <c r="D59" s="4"/>
      <c r="F59" s="5"/>
      <c r="H59" s="2"/>
      <c r="J59" s="78"/>
    </row>
    <row r="60" spans="1:11" x14ac:dyDescent="0.25">
      <c r="A60" s="7" t="s">
        <v>5</v>
      </c>
      <c r="B60" s="8">
        <v>115</v>
      </c>
      <c r="C60" s="9" t="s">
        <v>6</v>
      </c>
      <c r="D60" s="9"/>
      <c r="E60" s="9"/>
      <c r="F60" s="15">
        <f>$G$36*B60/100</f>
        <v>4.9322222222222223</v>
      </c>
      <c r="G60" s="9" t="s">
        <v>7</v>
      </c>
      <c r="H60" s="9"/>
      <c r="I60" s="56" t="s">
        <v>17</v>
      </c>
      <c r="J60" s="15">
        <f>F60/1000*60*60</f>
        <v>17.756</v>
      </c>
      <c r="K60" s="10" t="s">
        <v>22</v>
      </c>
    </row>
    <row r="61" spans="1:11" x14ac:dyDescent="0.25">
      <c r="B61" s="1" t="s">
        <v>8</v>
      </c>
      <c r="D61" s="4">
        <v>100</v>
      </c>
      <c r="E61" s="1" t="s">
        <v>9</v>
      </c>
      <c r="F61" s="5">
        <f>D61/F$60</f>
        <v>20.274836674926785</v>
      </c>
      <c r="G61" s="1" t="s">
        <v>10</v>
      </c>
      <c r="H61" s="2">
        <f>INT(F61/60)</f>
        <v>0</v>
      </c>
      <c r="I61" s="1" t="s">
        <v>1</v>
      </c>
      <c r="J61" s="78" t="str">
        <f>TEXT(MOD(ROUNDDOWN(F61,2),60),"00.0")</f>
        <v>20.3</v>
      </c>
      <c r="K61" s="1" t="s">
        <v>0</v>
      </c>
    </row>
    <row r="62" spans="1:11" x14ac:dyDescent="0.25">
      <c r="B62" s="1" t="s">
        <v>8</v>
      </c>
      <c r="D62" s="4">
        <v>200</v>
      </c>
      <c r="E62" s="1" t="s">
        <v>9</v>
      </c>
      <c r="F62" s="5">
        <f t="shared" ref="F62:F70" si="3">D62/F$60</f>
        <v>40.54967334985357</v>
      </c>
      <c r="G62" s="1" t="s">
        <v>10</v>
      </c>
      <c r="H62" s="2">
        <f t="shared" ref="H62:H70" si="4">INT(F62/60)</f>
        <v>0</v>
      </c>
      <c r="I62" s="1" t="s">
        <v>1</v>
      </c>
      <c r="J62" s="78" t="str">
        <f t="shared" ref="J62:J70" si="5">TEXT(MOD(ROUNDDOWN(F62,2),60),"00.0")</f>
        <v>40.5</v>
      </c>
      <c r="K62" s="1" t="s">
        <v>0</v>
      </c>
    </row>
    <row r="63" spans="1:11" x14ac:dyDescent="0.25">
      <c r="B63" s="1" t="s">
        <v>8</v>
      </c>
      <c r="D63" s="4">
        <v>300</v>
      </c>
      <c r="E63" s="1" t="s">
        <v>9</v>
      </c>
      <c r="F63" s="5">
        <f t="shared" si="3"/>
        <v>60.824510024780352</v>
      </c>
      <c r="G63" s="1" t="s">
        <v>10</v>
      </c>
      <c r="H63" s="2">
        <f t="shared" si="4"/>
        <v>1</v>
      </c>
      <c r="I63" s="1" t="s">
        <v>1</v>
      </c>
      <c r="J63" s="78" t="str">
        <f t="shared" si="5"/>
        <v>00.8</v>
      </c>
      <c r="K63" s="1" t="s">
        <v>0</v>
      </c>
    </row>
    <row r="64" spans="1:11" x14ac:dyDescent="0.25">
      <c r="B64" s="1" t="s">
        <v>8</v>
      </c>
      <c r="D64" s="4">
        <v>400</v>
      </c>
      <c r="E64" s="1" t="s">
        <v>9</v>
      </c>
      <c r="F64" s="5">
        <f t="shared" si="3"/>
        <v>81.099346699707141</v>
      </c>
      <c r="G64" s="1" t="s">
        <v>10</v>
      </c>
      <c r="H64" s="2">
        <f t="shared" si="4"/>
        <v>1</v>
      </c>
      <c r="I64" s="1" t="s">
        <v>1</v>
      </c>
      <c r="J64" s="78" t="str">
        <f t="shared" si="5"/>
        <v>21.1</v>
      </c>
      <c r="K64" s="1" t="s">
        <v>0</v>
      </c>
    </row>
    <row r="65" spans="1:11" x14ac:dyDescent="0.25">
      <c r="B65" s="1" t="s">
        <v>8</v>
      </c>
      <c r="D65" s="4">
        <v>600</v>
      </c>
      <c r="E65" s="1" t="s">
        <v>9</v>
      </c>
      <c r="F65" s="5">
        <f t="shared" si="3"/>
        <v>121.6490200495607</v>
      </c>
      <c r="G65" s="1" t="s">
        <v>10</v>
      </c>
      <c r="H65" s="2">
        <f t="shared" si="4"/>
        <v>2</v>
      </c>
      <c r="I65" s="1" t="s">
        <v>1</v>
      </c>
      <c r="J65" s="78" t="str">
        <f t="shared" si="5"/>
        <v>01.6</v>
      </c>
      <c r="K65" s="1" t="s">
        <v>0</v>
      </c>
    </row>
    <row r="66" spans="1:11" x14ac:dyDescent="0.25">
      <c r="B66" s="1" t="s">
        <v>8</v>
      </c>
      <c r="D66" s="4">
        <v>800</v>
      </c>
      <c r="E66" s="1" t="s">
        <v>9</v>
      </c>
      <c r="F66" s="5">
        <f t="shared" si="3"/>
        <v>162.19869339941428</v>
      </c>
      <c r="G66" s="1" t="s">
        <v>10</v>
      </c>
      <c r="H66" s="2">
        <f t="shared" si="4"/>
        <v>2</v>
      </c>
      <c r="I66" s="1" t="s">
        <v>1</v>
      </c>
      <c r="J66" s="78" t="str">
        <f t="shared" si="5"/>
        <v>42.2</v>
      </c>
      <c r="K66" s="1" t="s">
        <v>0</v>
      </c>
    </row>
    <row r="67" spans="1:11" x14ac:dyDescent="0.25">
      <c r="B67" s="1" t="s">
        <v>8</v>
      </c>
      <c r="D67" s="4">
        <v>1000</v>
      </c>
      <c r="E67" s="1" t="s">
        <v>9</v>
      </c>
      <c r="F67" s="5">
        <f t="shared" si="3"/>
        <v>202.74836674926786</v>
      </c>
      <c r="G67" s="1" t="s">
        <v>10</v>
      </c>
      <c r="H67" s="2">
        <f t="shared" si="4"/>
        <v>3</v>
      </c>
      <c r="I67" s="1" t="s">
        <v>1</v>
      </c>
      <c r="J67" s="78" t="str">
        <f t="shared" si="5"/>
        <v>22.7</v>
      </c>
      <c r="K67" s="1" t="s">
        <v>0</v>
      </c>
    </row>
    <row r="68" spans="1:11" x14ac:dyDescent="0.25">
      <c r="B68" s="1" t="s">
        <v>8</v>
      </c>
      <c r="D68" s="4">
        <v>1200</v>
      </c>
      <c r="E68" s="1" t="s">
        <v>9</v>
      </c>
      <c r="F68" s="5">
        <f t="shared" si="3"/>
        <v>243.29804009912141</v>
      </c>
      <c r="G68" s="1" t="s">
        <v>10</v>
      </c>
      <c r="H68" s="2">
        <f t="shared" si="4"/>
        <v>4</v>
      </c>
      <c r="I68" s="1" t="s">
        <v>1</v>
      </c>
      <c r="J68" s="78" t="str">
        <f t="shared" si="5"/>
        <v>03.3</v>
      </c>
      <c r="K68" s="1" t="s">
        <v>0</v>
      </c>
    </row>
    <row r="69" spans="1:11" x14ac:dyDescent="0.25">
      <c r="B69" s="1" t="s">
        <v>8</v>
      </c>
      <c r="D69" s="4">
        <v>1600</v>
      </c>
      <c r="E69" s="1" t="s">
        <v>9</v>
      </c>
      <c r="F69" s="5">
        <f t="shared" si="3"/>
        <v>324.39738679882856</v>
      </c>
      <c r="G69" s="1" t="s">
        <v>10</v>
      </c>
      <c r="H69" s="2">
        <f t="shared" si="4"/>
        <v>5</v>
      </c>
      <c r="I69" s="1" t="s">
        <v>1</v>
      </c>
      <c r="J69" s="78" t="str">
        <f t="shared" si="5"/>
        <v>24.4</v>
      </c>
      <c r="K69" s="1" t="s">
        <v>0</v>
      </c>
    </row>
    <row r="70" spans="1:11" x14ac:dyDescent="0.25">
      <c r="B70" s="1" t="s">
        <v>8</v>
      </c>
      <c r="D70" s="4">
        <v>2000</v>
      </c>
      <c r="E70" s="1" t="s">
        <v>9</v>
      </c>
      <c r="F70" s="5">
        <f t="shared" si="3"/>
        <v>405.49673349853572</v>
      </c>
      <c r="G70" s="1" t="s">
        <v>10</v>
      </c>
      <c r="H70" s="2">
        <f t="shared" si="4"/>
        <v>6</v>
      </c>
      <c r="I70" s="1" t="s">
        <v>1</v>
      </c>
      <c r="J70" s="78" t="str">
        <f t="shared" si="5"/>
        <v>45.5</v>
      </c>
      <c r="K70" s="1" t="s">
        <v>0</v>
      </c>
    </row>
    <row r="71" spans="1:11" x14ac:dyDescent="0.25">
      <c r="D71" s="4"/>
      <c r="F71" s="5"/>
      <c r="H71" s="2"/>
      <c r="J71" s="5"/>
    </row>
    <row r="72" spans="1:11" x14ac:dyDescent="0.25">
      <c r="A72" s="7" t="s">
        <v>5</v>
      </c>
      <c r="B72" s="8">
        <v>110</v>
      </c>
      <c r="C72" s="9" t="s">
        <v>6</v>
      </c>
      <c r="D72" s="9"/>
      <c r="E72" s="9"/>
      <c r="F72" s="15">
        <f>$G$36*B72/100</f>
        <v>4.7177777777777781</v>
      </c>
      <c r="G72" s="9" t="s">
        <v>7</v>
      </c>
      <c r="H72" s="9"/>
      <c r="I72" s="56" t="s">
        <v>17</v>
      </c>
      <c r="J72" s="15">
        <f>F72/1000*60*60</f>
        <v>16.984000000000002</v>
      </c>
      <c r="K72" s="10" t="s">
        <v>22</v>
      </c>
    </row>
    <row r="73" spans="1:11" x14ac:dyDescent="0.25">
      <c r="B73" s="1" t="s">
        <v>8</v>
      </c>
      <c r="D73" s="4">
        <v>100</v>
      </c>
      <c r="E73" s="1" t="s">
        <v>9</v>
      </c>
      <c r="F73" s="5">
        <f>D73/F$72</f>
        <v>21.19642016015073</v>
      </c>
      <c r="G73" s="1" t="s">
        <v>10</v>
      </c>
      <c r="H73" s="2">
        <f>INT(F73/60)</f>
        <v>0</v>
      </c>
      <c r="I73" s="1" t="s">
        <v>1</v>
      </c>
      <c r="J73" s="78" t="str">
        <f>TEXT(MOD(ROUNDDOWN(F73,2),60),"00.0")</f>
        <v>21.2</v>
      </c>
      <c r="K73" s="1" t="s">
        <v>0</v>
      </c>
    </row>
    <row r="74" spans="1:11" x14ac:dyDescent="0.25">
      <c r="B74" s="1" t="s">
        <v>8</v>
      </c>
      <c r="D74" s="4">
        <v>200</v>
      </c>
      <c r="E74" s="1" t="s">
        <v>9</v>
      </c>
      <c r="F74" s="5">
        <f t="shared" ref="F74:F82" si="6">D74/F$72</f>
        <v>42.39284032030146</v>
      </c>
      <c r="G74" s="1" t="s">
        <v>10</v>
      </c>
      <c r="H74" s="2">
        <f t="shared" ref="H74:H82" si="7">INT(F74/60)</f>
        <v>0</v>
      </c>
      <c r="I74" s="1" t="s">
        <v>1</v>
      </c>
      <c r="J74" s="78" t="str">
        <f t="shared" ref="J74:J82" si="8">TEXT(MOD(ROUNDDOWN(F74,2),60),"00.0")</f>
        <v>42.4</v>
      </c>
      <c r="K74" s="1" t="s">
        <v>0</v>
      </c>
    </row>
    <row r="75" spans="1:11" x14ac:dyDescent="0.25">
      <c r="B75" s="1" t="s">
        <v>8</v>
      </c>
      <c r="D75" s="4">
        <v>300</v>
      </c>
      <c r="E75" s="1" t="s">
        <v>9</v>
      </c>
      <c r="F75" s="5">
        <f t="shared" si="6"/>
        <v>63.589260480452189</v>
      </c>
      <c r="G75" s="1" t="s">
        <v>10</v>
      </c>
      <c r="H75" s="2">
        <f t="shared" si="7"/>
        <v>1</v>
      </c>
      <c r="I75" s="1" t="s">
        <v>1</v>
      </c>
      <c r="J75" s="78" t="str">
        <f t="shared" si="8"/>
        <v>03.6</v>
      </c>
      <c r="K75" s="1" t="s">
        <v>0</v>
      </c>
    </row>
    <row r="76" spans="1:11" x14ac:dyDescent="0.25">
      <c r="B76" s="1" t="s">
        <v>8</v>
      </c>
      <c r="D76" s="4">
        <v>400</v>
      </c>
      <c r="E76" s="1" t="s">
        <v>9</v>
      </c>
      <c r="F76" s="5">
        <f t="shared" si="6"/>
        <v>84.785680640602919</v>
      </c>
      <c r="G76" s="1" t="s">
        <v>10</v>
      </c>
      <c r="H76" s="2">
        <f t="shared" si="7"/>
        <v>1</v>
      </c>
      <c r="I76" s="1" t="s">
        <v>1</v>
      </c>
      <c r="J76" s="78" t="str">
        <f t="shared" si="8"/>
        <v>24.8</v>
      </c>
      <c r="K76" s="1" t="s">
        <v>0</v>
      </c>
    </row>
    <row r="77" spans="1:11" x14ac:dyDescent="0.25">
      <c r="B77" s="1" t="s">
        <v>8</v>
      </c>
      <c r="D77" s="4">
        <v>600</v>
      </c>
      <c r="E77" s="1" t="s">
        <v>9</v>
      </c>
      <c r="F77" s="5">
        <f t="shared" si="6"/>
        <v>127.17852096090438</v>
      </c>
      <c r="G77" s="1" t="s">
        <v>10</v>
      </c>
      <c r="H77" s="2">
        <f t="shared" si="7"/>
        <v>2</v>
      </c>
      <c r="I77" s="1" t="s">
        <v>1</v>
      </c>
      <c r="J77" s="78" t="str">
        <f t="shared" si="8"/>
        <v>07.2</v>
      </c>
      <c r="K77" s="1" t="s">
        <v>0</v>
      </c>
    </row>
    <row r="78" spans="1:11" x14ac:dyDescent="0.25">
      <c r="B78" s="1" t="s">
        <v>8</v>
      </c>
      <c r="D78" s="4">
        <v>800</v>
      </c>
      <c r="E78" s="1" t="s">
        <v>9</v>
      </c>
      <c r="F78" s="5">
        <f t="shared" si="6"/>
        <v>169.57136128120584</v>
      </c>
      <c r="G78" s="1" t="s">
        <v>10</v>
      </c>
      <c r="H78" s="2">
        <f t="shared" si="7"/>
        <v>2</v>
      </c>
      <c r="I78" s="1" t="s">
        <v>1</v>
      </c>
      <c r="J78" s="78" t="str">
        <f t="shared" si="8"/>
        <v>49.6</v>
      </c>
      <c r="K78" s="1" t="s">
        <v>0</v>
      </c>
    </row>
    <row r="79" spans="1:11" x14ac:dyDescent="0.25">
      <c r="B79" s="1" t="s">
        <v>8</v>
      </c>
      <c r="D79" s="4">
        <v>1000</v>
      </c>
      <c r="E79" s="1" t="s">
        <v>9</v>
      </c>
      <c r="F79" s="5">
        <f t="shared" si="6"/>
        <v>211.96420160150728</v>
      </c>
      <c r="G79" s="1" t="s">
        <v>10</v>
      </c>
      <c r="H79" s="2">
        <f t="shared" si="7"/>
        <v>3</v>
      </c>
      <c r="I79" s="1" t="s">
        <v>1</v>
      </c>
      <c r="J79" s="78" t="str">
        <f t="shared" si="8"/>
        <v>32.0</v>
      </c>
      <c r="K79" s="1" t="s">
        <v>0</v>
      </c>
    </row>
    <row r="80" spans="1:11" x14ac:dyDescent="0.25">
      <c r="B80" s="1" t="s">
        <v>8</v>
      </c>
      <c r="D80" s="4">
        <v>1200</v>
      </c>
      <c r="E80" s="1" t="s">
        <v>9</v>
      </c>
      <c r="F80" s="5">
        <f t="shared" si="6"/>
        <v>254.35704192180876</v>
      </c>
      <c r="G80" s="1" t="s">
        <v>10</v>
      </c>
      <c r="H80" s="2">
        <f t="shared" si="7"/>
        <v>4</v>
      </c>
      <c r="I80" s="1" t="s">
        <v>1</v>
      </c>
      <c r="J80" s="78" t="str">
        <f t="shared" si="8"/>
        <v>14.4</v>
      </c>
      <c r="K80" s="1" t="s">
        <v>0</v>
      </c>
    </row>
    <row r="81" spans="1:11" x14ac:dyDescent="0.25">
      <c r="B81" s="1" t="s">
        <v>8</v>
      </c>
      <c r="D81" s="4">
        <v>1600</v>
      </c>
      <c r="E81" s="1" t="s">
        <v>9</v>
      </c>
      <c r="F81" s="5">
        <f t="shared" si="6"/>
        <v>339.14272256241168</v>
      </c>
      <c r="G81" s="1" t="s">
        <v>10</v>
      </c>
      <c r="H81" s="2">
        <f t="shared" si="7"/>
        <v>5</v>
      </c>
      <c r="I81" s="1" t="s">
        <v>1</v>
      </c>
      <c r="J81" s="78" t="str">
        <f t="shared" si="8"/>
        <v>39.1</v>
      </c>
      <c r="K81" s="1" t="s">
        <v>0</v>
      </c>
    </row>
    <row r="82" spans="1:11" x14ac:dyDescent="0.25">
      <c r="B82" s="1" t="s">
        <v>8</v>
      </c>
      <c r="D82" s="4">
        <v>2000</v>
      </c>
      <c r="E82" s="1" t="s">
        <v>9</v>
      </c>
      <c r="F82" s="5">
        <f t="shared" si="6"/>
        <v>423.92840320301457</v>
      </c>
      <c r="G82" s="1" t="s">
        <v>10</v>
      </c>
      <c r="H82" s="2">
        <f t="shared" si="7"/>
        <v>7</v>
      </c>
      <c r="I82" s="1" t="s">
        <v>1</v>
      </c>
      <c r="J82" s="78" t="str">
        <f t="shared" si="8"/>
        <v>03.9</v>
      </c>
      <c r="K82" s="1" t="s">
        <v>0</v>
      </c>
    </row>
    <row r="83" spans="1:11" x14ac:dyDescent="0.25">
      <c r="D83" s="4"/>
      <c r="F83" s="5"/>
      <c r="H83" s="2"/>
      <c r="J83" s="5"/>
    </row>
    <row r="84" spans="1:11" x14ac:dyDescent="0.25">
      <c r="A84" s="7" t="s">
        <v>5</v>
      </c>
      <c r="B84" s="8">
        <v>105</v>
      </c>
      <c r="C84" s="9" t="s">
        <v>6</v>
      </c>
      <c r="D84" s="9"/>
      <c r="E84" s="9"/>
      <c r="F84" s="15">
        <f>$G$36*B84/100</f>
        <v>4.503333333333333</v>
      </c>
      <c r="G84" s="9" t="s">
        <v>7</v>
      </c>
      <c r="H84" s="9"/>
      <c r="I84" s="56" t="s">
        <v>17</v>
      </c>
      <c r="J84" s="15">
        <f>F84/1000*60*60</f>
        <v>16.212</v>
      </c>
      <c r="K84" s="10" t="s">
        <v>22</v>
      </c>
    </row>
    <row r="85" spans="1:11" x14ac:dyDescent="0.25">
      <c r="B85" s="1" t="s">
        <v>8</v>
      </c>
      <c r="D85" s="4">
        <v>100</v>
      </c>
      <c r="E85" s="1" t="s">
        <v>9</v>
      </c>
      <c r="F85" s="5">
        <f>D85/F$84</f>
        <v>22.20577350111029</v>
      </c>
      <c r="G85" s="1" t="s">
        <v>10</v>
      </c>
      <c r="H85" s="2">
        <f>INT(F85/60)</f>
        <v>0</v>
      </c>
      <c r="I85" s="1" t="s">
        <v>1</v>
      </c>
      <c r="J85" s="78" t="str">
        <f>TEXT(MOD(ROUNDDOWN(F85,2),60),"00.0")</f>
        <v>22.2</v>
      </c>
      <c r="K85" s="1" t="s">
        <v>0</v>
      </c>
    </row>
    <row r="86" spans="1:11" x14ac:dyDescent="0.25">
      <c r="B86" s="1" t="s">
        <v>8</v>
      </c>
      <c r="D86" s="4">
        <v>200</v>
      </c>
      <c r="E86" s="1" t="s">
        <v>9</v>
      </c>
      <c r="F86" s="5">
        <f t="shared" ref="F86:F94" si="9">D86/F$84</f>
        <v>44.41154700222058</v>
      </c>
      <c r="G86" s="1" t="s">
        <v>10</v>
      </c>
      <c r="H86" s="2">
        <f t="shared" ref="H86:H94" si="10">INT(F86/60)</f>
        <v>0</v>
      </c>
      <c r="I86" s="1" t="s">
        <v>1</v>
      </c>
      <c r="J86" s="78" t="str">
        <f t="shared" ref="J86:J94" si="11">TEXT(MOD(ROUNDDOWN(F86,2),60),"00.0")</f>
        <v>44.4</v>
      </c>
      <c r="K86" s="1" t="s">
        <v>0</v>
      </c>
    </row>
    <row r="87" spans="1:11" x14ac:dyDescent="0.25">
      <c r="B87" s="1" t="s">
        <v>8</v>
      </c>
      <c r="D87" s="4">
        <v>300</v>
      </c>
      <c r="E87" s="1" t="s">
        <v>9</v>
      </c>
      <c r="F87" s="5">
        <f t="shared" si="9"/>
        <v>66.617320503330873</v>
      </c>
      <c r="G87" s="1" t="s">
        <v>10</v>
      </c>
      <c r="H87" s="2">
        <f t="shared" si="10"/>
        <v>1</v>
      </c>
      <c r="I87" s="1" t="s">
        <v>1</v>
      </c>
      <c r="J87" s="78" t="str">
        <f t="shared" si="11"/>
        <v>06.6</v>
      </c>
      <c r="K87" s="1" t="s">
        <v>0</v>
      </c>
    </row>
    <row r="88" spans="1:11" x14ac:dyDescent="0.25">
      <c r="B88" s="1" t="s">
        <v>8</v>
      </c>
      <c r="D88" s="4">
        <v>400</v>
      </c>
      <c r="E88" s="1" t="s">
        <v>9</v>
      </c>
      <c r="F88" s="5">
        <f t="shared" si="9"/>
        <v>88.82309400444116</v>
      </c>
      <c r="G88" s="1" t="s">
        <v>10</v>
      </c>
      <c r="H88" s="2">
        <f t="shared" si="10"/>
        <v>1</v>
      </c>
      <c r="I88" s="1" t="s">
        <v>1</v>
      </c>
      <c r="J88" s="78" t="str">
        <f t="shared" si="11"/>
        <v>28.8</v>
      </c>
      <c r="K88" s="1" t="s">
        <v>0</v>
      </c>
    </row>
    <row r="89" spans="1:11" x14ac:dyDescent="0.25">
      <c r="B89" s="1" t="s">
        <v>8</v>
      </c>
      <c r="D89" s="4">
        <v>600</v>
      </c>
      <c r="E89" s="1" t="s">
        <v>9</v>
      </c>
      <c r="F89" s="5">
        <f t="shared" si="9"/>
        <v>133.23464100666175</v>
      </c>
      <c r="G89" s="1" t="s">
        <v>10</v>
      </c>
      <c r="H89" s="2">
        <f t="shared" si="10"/>
        <v>2</v>
      </c>
      <c r="I89" s="1" t="s">
        <v>1</v>
      </c>
      <c r="J89" s="78" t="str">
        <f t="shared" si="11"/>
        <v>13.2</v>
      </c>
      <c r="K89" s="1" t="s">
        <v>0</v>
      </c>
    </row>
    <row r="90" spans="1:11" x14ac:dyDescent="0.25">
      <c r="B90" s="1" t="s">
        <v>8</v>
      </c>
      <c r="D90" s="4">
        <v>800</v>
      </c>
      <c r="E90" s="1" t="s">
        <v>9</v>
      </c>
      <c r="F90" s="5">
        <f t="shared" si="9"/>
        <v>177.64618800888232</v>
      </c>
      <c r="G90" s="1" t="s">
        <v>10</v>
      </c>
      <c r="H90" s="2">
        <f t="shared" si="10"/>
        <v>2</v>
      </c>
      <c r="I90" s="1" t="s">
        <v>1</v>
      </c>
      <c r="J90" s="78" t="str">
        <f t="shared" si="11"/>
        <v>57.6</v>
      </c>
      <c r="K90" s="1" t="s">
        <v>0</v>
      </c>
    </row>
    <row r="91" spans="1:11" x14ac:dyDescent="0.25">
      <c r="B91" s="1" t="s">
        <v>8</v>
      </c>
      <c r="D91" s="4">
        <v>1000</v>
      </c>
      <c r="E91" s="1" t="s">
        <v>9</v>
      </c>
      <c r="F91" s="5">
        <f t="shared" si="9"/>
        <v>222.05773501110289</v>
      </c>
      <c r="G91" s="1" t="s">
        <v>10</v>
      </c>
      <c r="H91" s="2">
        <f t="shared" si="10"/>
        <v>3</v>
      </c>
      <c r="I91" s="1" t="s">
        <v>1</v>
      </c>
      <c r="J91" s="78" t="str">
        <f t="shared" si="11"/>
        <v>42.1</v>
      </c>
      <c r="K91" s="1" t="s">
        <v>0</v>
      </c>
    </row>
    <row r="92" spans="1:11" x14ac:dyDescent="0.25">
      <c r="B92" s="1" t="s">
        <v>8</v>
      </c>
      <c r="D92" s="4">
        <v>1200</v>
      </c>
      <c r="E92" s="1" t="s">
        <v>9</v>
      </c>
      <c r="F92" s="5">
        <f t="shared" si="9"/>
        <v>266.46928201332349</v>
      </c>
      <c r="G92" s="1" t="s">
        <v>10</v>
      </c>
      <c r="H92" s="2">
        <f t="shared" si="10"/>
        <v>4</v>
      </c>
      <c r="I92" s="1" t="s">
        <v>1</v>
      </c>
      <c r="J92" s="78" t="str">
        <f t="shared" si="11"/>
        <v>26.5</v>
      </c>
      <c r="K92" s="1" t="s">
        <v>0</v>
      </c>
    </row>
    <row r="93" spans="1:11" x14ac:dyDescent="0.25">
      <c r="B93" s="1" t="s">
        <v>8</v>
      </c>
      <c r="D93" s="4">
        <v>1600</v>
      </c>
      <c r="E93" s="1" t="s">
        <v>9</v>
      </c>
      <c r="F93" s="5">
        <f t="shared" si="9"/>
        <v>355.29237601776464</v>
      </c>
      <c r="G93" s="1" t="s">
        <v>10</v>
      </c>
      <c r="H93" s="2">
        <f t="shared" si="10"/>
        <v>5</v>
      </c>
      <c r="I93" s="1" t="s">
        <v>1</v>
      </c>
      <c r="J93" s="78" t="str">
        <f t="shared" si="11"/>
        <v>55.3</v>
      </c>
      <c r="K93" s="1" t="s">
        <v>0</v>
      </c>
    </row>
    <row r="94" spans="1:11" x14ac:dyDescent="0.25">
      <c r="B94" s="1" t="s">
        <v>8</v>
      </c>
      <c r="D94" s="4">
        <v>2000</v>
      </c>
      <c r="E94" s="1" t="s">
        <v>9</v>
      </c>
      <c r="F94" s="5">
        <f t="shared" si="9"/>
        <v>444.11547002220578</v>
      </c>
      <c r="G94" s="1" t="s">
        <v>10</v>
      </c>
      <c r="H94" s="2">
        <f t="shared" si="10"/>
        <v>7</v>
      </c>
      <c r="I94" s="1" t="s">
        <v>1</v>
      </c>
      <c r="J94" s="78" t="str">
        <f t="shared" si="11"/>
        <v>24.1</v>
      </c>
      <c r="K94" s="1" t="s">
        <v>0</v>
      </c>
    </row>
    <row r="95" spans="1:11" x14ac:dyDescent="0.25">
      <c r="D95" s="4"/>
      <c r="F95" s="5"/>
      <c r="H95" s="2"/>
      <c r="J95" s="5"/>
    </row>
    <row r="96" spans="1:11" x14ac:dyDescent="0.25">
      <c r="A96" s="7" t="s">
        <v>5</v>
      </c>
      <c r="B96" s="8">
        <v>100</v>
      </c>
      <c r="C96" s="9" t="s">
        <v>6</v>
      </c>
      <c r="D96" s="9"/>
      <c r="E96" s="9"/>
      <c r="F96" s="15">
        <f>$G$36*B96/100</f>
        <v>4.2888888888888888</v>
      </c>
      <c r="G96" s="9" t="s">
        <v>7</v>
      </c>
      <c r="H96" s="9"/>
      <c r="I96" s="56" t="s">
        <v>17</v>
      </c>
      <c r="J96" s="15">
        <f>F96/1000*60*60</f>
        <v>15.440000000000001</v>
      </c>
      <c r="K96" s="10" t="s">
        <v>22</v>
      </c>
    </row>
    <row r="97" spans="1:11" x14ac:dyDescent="0.25">
      <c r="B97" s="1" t="s">
        <v>8</v>
      </c>
      <c r="D97" s="4">
        <v>100</v>
      </c>
      <c r="E97" s="1" t="s">
        <v>9</v>
      </c>
      <c r="F97" s="5">
        <f>D97/F$96</f>
        <v>23.316062176165804</v>
      </c>
      <c r="G97" s="1" t="s">
        <v>10</v>
      </c>
      <c r="H97" s="2">
        <f>INT(F97/60)</f>
        <v>0</v>
      </c>
      <c r="I97" s="1" t="s">
        <v>1</v>
      </c>
      <c r="J97" s="78" t="str">
        <f>TEXT(MOD(ROUNDDOWN(F97,2),60),"00.0")</f>
        <v>23.3</v>
      </c>
      <c r="K97" s="1" t="s">
        <v>0</v>
      </c>
    </row>
    <row r="98" spans="1:11" x14ac:dyDescent="0.25">
      <c r="B98" s="1" t="s">
        <v>8</v>
      </c>
      <c r="D98" s="4">
        <v>200</v>
      </c>
      <c r="E98" s="1" t="s">
        <v>9</v>
      </c>
      <c r="F98" s="5">
        <f t="shared" ref="F98:F106" si="12">D98/F$96</f>
        <v>46.632124352331608</v>
      </c>
      <c r="G98" s="1" t="s">
        <v>10</v>
      </c>
      <c r="H98" s="2">
        <f t="shared" ref="H98:H106" si="13">INT(F98/60)</f>
        <v>0</v>
      </c>
      <c r="I98" s="1" t="s">
        <v>1</v>
      </c>
      <c r="J98" s="78" t="str">
        <f t="shared" ref="J98:J106" si="14">TEXT(MOD(ROUNDDOWN(F98,2),60),"00.0")</f>
        <v>46.6</v>
      </c>
      <c r="K98" s="1" t="s">
        <v>0</v>
      </c>
    </row>
    <row r="99" spans="1:11" x14ac:dyDescent="0.25">
      <c r="B99" s="1" t="s">
        <v>8</v>
      </c>
      <c r="D99" s="4">
        <v>300</v>
      </c>
      <c r="E99" s="1" t="s">
        <v>9</v>
      </c>
      <c r="F99" s="5">
        <f t="shared" si="12"/>
        <v>69.948186528497416</v>
      </c>
      <c r="G99" s="1" t="s">
        <v>10</v>
      </c>
      <c r="H99" s="2">
        <f t="shared" si="13"/>
        <v>1</v>
      </c>
      <c r="I99" s="1" t="s">
        <v>1</v>
      </c>
      <c r="J99" s="78" t="str">
        <f t="shared" si="14"/>
        <v>09.9</v>
      </c>
      <c r="K99" s="1" t="s">
        <v>0</v>
      </c>
    </row>
    <row r="100" spans="1:11" x14ac:dyDescent="0.25">
      <c r="B100" s="1" t="s">
        <v>8</v>
      </c>
      <c r="D100" s="4">
        <v>400</v>
      </c>
      <c r="E100" s="1" t="s">
        <v>9</v>
      </c>
      <c r="F100" s="5">
        <f t="shared" si="12"/>
        <v>93.264248704663217</v>
      </c>
      <c r="G100" s="1" t="s">
        <v>10</v>
      </c>
      <c r="H100" s="2">
        <f t="shared" si="13"/>
        <v>1</v>
      </c>
      <c r="I100" s="1" t="s">
        <v>1</v>
      </c>
      <c r="J100" s="78" t="str">
        <f t="shared" si="14"/>
        <v>33.3</v>
      </c>
      <c r="K100" s="1" t="s">
        <v>0</v>
      </c>
    </row>
    <row r="101" spans="1:11" x14ac:dyDescent="0.25">
      <c r="B101" s="1" t="s">
        <v>8</v>
      </c>
      <c r="D101" s="4">
        <v>600</v>
      </c>
      <c r="E101" s="1" t="s">
        <v>9</v>
      </c>
      <c r="F101" s="5">
        <f t="shared" si="12"/>
        <v>139.89637305699483</v>
      </c>
      <c r="G101" s="1" t="s">
        <v>10</v>
      </c>
      <c r="H101" s="2">
        <f t="shared" si="13"/>
        <v>2</v>
      </c>
      <c r="I101" s="1" t="s">
        <v>1</v>
      </c>
      <c r="J101" s="78" t="str">
        <f t="shared" si="14"/>
        <v>19.9</v>
      </c>
      <c r="K101" s="1" t="s">
        <v>0</v>
      </c>
    </row>
    <row r="102" spans="1:11" x14ac:dyDescent="0.25">
      <c r="B102" s="1" t="s">
        <v>8</v>
      </c>
      <c r="D102" s="4">
        <v>800</v>
      </c>
      <c r="E102" s="1" t="s">
        <v>9</v>
      </c>
      <c r="F102" s="5">
        <f t="shared" si="12"/>
        <v>186.52849740932643</v>
      </c>
      <c r="G102" s="1" t="s">
        <v>10</v>
      </c>
      <c r="H102" s="2">
        <f t="shared" si="13"/>
        <v>3</v>
      </c>
      <c r="I102" s="1" t="s">
        <v>1</v>
      </c>
      <c r="J102" s="78" t="str">
        <f t="shared" si="14"/>
        <v>06.5</v>
      </c>
      <c r="K102" s="1" t="s">
        <v>0</v>
      </c>
    </row>
    <row r="103" spans="1:11" x14ac:dyDescent="0.25">
      <c r="B103" s="1" t="s">
        <v>8</v>
      </c>
      <c r="D103" s="4">
        <v>1000</v>
      </c>
      <c r="E103" s="1" t="s">
        <v>9</v>
      </c>
      <c r="F103" s="5">
        <f t="shared" si="12"/>
        <v>233.16062176165804</v>
      </c>
      <c r="G103" s="1" t="s">
        <v>10</v>
      </c>
      <c r="H103" s="2">
        <f t="shared" si="13"/>
        <v>3</v>
      </c>
      <c r="I103" s="1" t="s">
        <v>1</v>
      </c>
      <c r="J103" s="78" t="str">
        <f t="shared" si="14"/>
        <v>53.2</v>
      </c>
      <c r="K103" s="1" t="s">
        <v>0</v>
      </c>
    </row>
    <row r="104" spans="1:11" x14ac:dyDescent="0.25">
      <c r="B104" s="1" t="s">
        <v>8</v>
      </c>
      <c r="D104" s="4">
        <v>1200</v>
      </c>
      <c r="E104" s="1" t="s">
        <v>9</v>
      </c>
      <c r="F104" s="5">
        <f t="shared" si="12"/>
        <v>279.79274611398966</v>
      </c>
      <c r="G104" s="1" t="s">
        <v>10</v>
      </c>
      <c r="H104" s="2">
        <f t="shared" si="13"/>
        <v>4</v>
      </c>
      <c r="I104" s="1" t="s">
        <v>1</v>
      </c>
      <c r="J104" s="78" t="str">
        <f t="shared" si="14"/>
        <v>39.8</v>
      </c>
      <c r="K104" s="1" t="s">
        <v>0</v>
      </c>
    </row>
    <row r="105" spans="1:11" x14ac:dyDescent="0.25">
      <c r="B105" s="1" t="s">
        <v>8</v>
      </c>
      <c r="D105" s="4">
        <v>1600</v>
      </c>
      <c r="E105" s="1" t="s">
        <v>9</v>
      </c>
      <c r="F105" s="5">
        <f t="shared" si="12"/>
        <v>373.05699481865287</v>
      </c>
      <c r="G105" s="1" t="s">
        <v>10</v>
      </c>
      <c r="H105" s="2">
        <f t="shared" si="13"/>
        <v>6</v>
      </c>
      <c r="I105" s="1" t="s">
        <v>1</v>
      </c>
      <c r="J105" s="78" t="str">
        <f t="shared" si="14"/>
        <v>13.1</v>
      </c>
      <c r="K105" s="1" t="s">
        <v>0</v>
      </c>
    </row>
    <row r="106" spans="1:11" x14ac:dyDescent="0.25">
      <c r="B106" s="1" t="s">
        <v>8</v>
      </c>
      <c r="D106" s="4">
        <v>2000</v>
      </c>
      <c r="E106" s="1" t="s">
        <v>9</v>
      </c>
      <c r="F106" s="5">
        <f t="shared" si="12"/>
        <v>466.32124352331607</v>
      </c>
      <c r="G106" s="1" t="s">
        <v>10</v>
      </c>
      <c r="H106" s="2">
        <f t="shared" si="13"/>
        <v>7</v>
      </c>
      <c r="I106" s="1" t="s">
        <v>1</v>
      </c>
      <c r="J106" s="78" t="str">
        <f t="shared" si="14"/>
        <v>46.3</v>
      </c>
      <c r="K106" s="1" t="s">
        <v>0</v>
      </c>
    </row>
    <row r="107" spans="1:11" x14ac:dyDescent="0.25">
      <c r="D107" s="4"/>
      <c r="F107" s="5"/>
      <c r="H107" s="2"/>
      <c r="J107" s="5"/>
    </row>
    <row r="108" spans="1:11" x14ac:dyDescent="0.25">
      <c r="A108" s="7" t="s">
        <v>5</v>
      </c>
      <c r="B108" s="8">
        <v>95</v>
      </c>
      <c r="C108" s="9" t="s">
        <v>6</v>
      </c>
      <c r="D108" s="9"/>
      <c r="E108" s="9"/>
      <c r="F108" s="15">
        <f>$G$36*B108/100</f>
        <v>4.0744444444444445</v>
      </c>
      <c r="G108" s="9" t="s">
        <v>7</v>
      </c>
      <c r="H108" s="9"/>
      <c r="I108" s="56" t="s">
        <v>17</v>
      </c>
      <c r="J108" s="15">
        <f>F108/1000*60*60</f>
        <v>14.668000000000001</v>
      </c>
      <c r="K108" s="10" t="s">
        <v>22</v>
      </c>
    </row>
    <row r="109" spans="1:11" x14ac:dyDescent="0.25">
      <c r="B109" s="1" t="s">
        <v>8</v>
      </c>
      <c r="D109" s="4">
        <v>100</v>
      </c>
      <c r="E109" s="1" t="s">
        <v>9</v>
      </c>
      <c r="F109" s="5">
        <f>D109/F$108</f>
        <v>24.543223343332425</v>
      </c>
      <c r="G109" s="1" t="s">
        <v>10</v>
      </c>
      <c r="H109" s="2">
        <f>INT(F109/60)</f>
        <v>0</v>
      </c>
      <c r="I109" s="1" t="s">
        <v>1</v>
      </c>
      <c r="J109" s="78" t="str">
        <f>TEXT(MOD(ROUNDDOWN(F109,2),60),"00.0")</f>
        <v>24.5</v>
      </c>
      <c r="K109" s="1" t="s">
        <v>0</v>
      </c>
    </row>
    <row r="110" spans="1:11" x14ac:dyDescent="0.25">
      <c r="B110" s="1" t="s">
        <v>8</v>
      </c>
      <c r="D110" s="4">
        <v>200</v>
      </c>
      <c r="E110" s="1" t="s">
        <v>9</v>
      </c>
      <c r="F110" s="5">
        <f t="shared" ref="F110:F118" si="15">D110/F$108</f>
        <v>49.08644668666485</v>
      </c>
      <c r="G110" s="1" t="s">
        <v>10</v>
      </c>
      <c r="H110" s="2">
        <f t="shared" ref="H110:H118" si="16">INT(F110/60)</f>
        <v>0</v>
      </c>
      <c r="I110" s="1" t="s">
        <v>1</v>
      </c>
      <c r="J110" s="78" t="str">
        <f t="shared" ref="J110:J118" si="17">TEXT(MOD(ROUNDDOWN(F110,2),60),"00.0")</f>
        <v>49.1</v>
      </c>
      <c r="K110" s="1" t="s">
        <v>0</v>
      </c>
    </row>
    <row r="111" spans="1:11" x14ac:dyDescent="0.25">
      <c r="B111" s="1" t="s">
        <v>8</v>
      </c>
      <c r="D111" s="4">
        <v>300</v>
      </c>
      <c r="E111" s="1" t="s">
        <v>9</v>
      </c>
      <c r="F111" s="5">
        <f t="shared" si="15"/>
        <v>73.629670029997271</v>
      </c>
      <c r="G111" s="1" t="s">
        <v>10</v>
      </c>
      <c r="H111" s="2">
        <f t="shared" si="16"/>
        <v>1</v>
      </c>
      <c r="I111" s="1" t="s">
        <v>1</v>
      </c>
      <c r="J111" s="78" t="str">
        <f t="shared" si="17"/>
        <v>13.6</v>
      </c>
      <c r="K111" s="1" t="s">
        <v>0</v>
      </c>
    </row>
    <row r="112" spans="1:11" x14ac:dyDescent="0.25">
      <c r="B112" s="1" t="s">
        <v>8</v>
      </c>
      <c r="D112" s="4">
        <v>400</v>
      </c>
      <c r="E112" s="1" t="s">
        <v>9</v>
      </c>
      <c r="F112" s="5">
        <f t="shared" si="15"/>
        <v>98.1728933733297</v>
      </c>
      <c r="G112" s="1" t="s">
        <v>10</v>
      </c>
      <c r="H112" s="2">
        <f t="shared" si="16"/>
        <v>1</v>
      </c>
      <c r="I112" s="1" t="s">
        <v>1</v>
      </c>
      <c r="J112" s="78" t="str">
        <f t="shared" si="17"/>
        <v>38.2</v>
      </c>
      <c r="K112" s="1" t="s">
        <v>0</v>
      </c>
    </row>
    <row r="113" spans="1:11" x14ac:dyDescent="0.25">
      <c r="B113" s="1" t="s">
        <v>8</v>
      </c>
      <c r="D113" s="4">
        <v>600</v>
      </c>
      <c r="E113" s="1" t="s">
        <v>9</v>
      </c>
      <c r="F113" s="5">
        <f t="shared" si="15"/>
        <v>147.25934005999454</v>
      </c>
      <c r="G113" s="1" t="s">
        <v>10</v>
      </c>
      <c r="H113" s="2">
        <f t="shared" si="16"/>
        <v>2</v>
      </c>
      <c r="I113" s="1" t="s">
        <v>1</v>
      </c>
      <c r="J113" s="78" t="str">
        <f t="shared" si="17"/>
        <v>27.3</v>
      </c>
      <c r="K113" s="1" t="s">
        <v>0</v>
      </c>
    </row>
    <row r="114" spans="1:11" x14ac:dyDescent="0.25">
      <c r="B114" s="1" t="s">
        <v>8</v>
      </c>
      <c r="D114" s="4">
        <v>800</v>
      </c>
      <c r="E114" s="1" t="s">
        <v>9</v>
      </c>
      <c r="F114" s="5">
        <f t="shared" si="15"/>
        <v>196.3457867466594</v>
      </c>
      <c r="G114" s="1" t="s">
        <v>10</v>
      </c>
      <c r="H114" s="2">
        <f t="shared" si="16"/>
        <v>3</v>
      </c>
      <c r="I114" s="1" t="s">
        <v>1</v>
      </c>
      <c r="J114" s="78" t="str">
        <f t="shared" si="17"/>
        <v>16.3</v>
      </c>
      <c r="K114" s="1" t="s">
        <v>0</v>
      </c>
    </row>
    <row r="115" spans="1:11" x14ac:dyDescent="0.25">
      <c r="B115" s="1" t="s">
        <v>8</v>
      </c>
      <c r="D115" s="4">
        <v>1000</v>
      </c>
      <c r="E115" s="1" t="s">
        <v>9</v>
      </c>
      <c r="F115" s="5">
        <f t="shared" si="15"/>
        <v>245.43223343332423</v>
      </c>
      <c r="G115" s="1" t="s">
        <v>10</v>
      </c>
      <c r="H115" s="2">
        <f t="shared" si="16"/>
        <v>4</v>
      </c>
      <c r="I115" s="1" t="s">
        <v>1</v>
      </c>
      <c r="J115" s="78" t="str">
        <f t="shared" si="17"/>
        <v>05.4</v>
      </c>
      <c r="K115" s="1" t="s">
        <v>0</v>
      </c>
    </row>
    <row r="116" spans="1:11" x14ac:dyDescent="0.25">
      <c r="B116" s="1" t="s">
        <v>8</v>
      </c>
      <c r="D116" s="4">
        <v>1200</v>
      </c>
      <c r="E116" s="1" t="s">
        <v>9</v>
      </c>
      <c r="F116" s="5">
        <f t="shared" si="15"/>
        <v>294.51868011998909</v>
      </c>
      <c r="G116" s="1" t="s">
        <v>10</v>
      </c>
      <c r="H116" s="2">
        <f t="shared" si="16"/>
        <v>4</v>
      </c>
      <c r="I116" s="1" t="s">
        <v>1</v>
      </c>
      <c r="J116" s="78" t="str">
        <f t="shared" si="17"/>
        <v>54.5</v>
      </c>
      <c r="K116" s="1" t="s">
        <v>0</v>
      </c>
    </row>
    <row r="117" spans="1:11" x14ac:dyDescent="0.25">
      <c r="B117" s="1" t="s">
        <v>8</v>
      </c>
      <c r="D117" s="4">
        <v>1600</v>
      </c>
      <c r="E117" s="1" t="s">
        <v>9</v>
      </c>
      <c r="F117" s="5">
        <f t="shared" si="15"/>
        <v>392.6915734933188</v>
      </c>
      <c r="G117" s="1" t="s">
        <v>10</v>
      </c>
      <c r="H117" s="2">
        <f t="shared" si="16"/>
        <v>6</v>
      </c>
      <c r="I117" s="1" t="s">
        <v>1</v>
      </c>
      <c r="J117" s="78" t="str">
        <f t="shared" si="17"/>
        <v>32.7</v>
      </c>
      <c r="K117" s="1" t="s">
        <v>0</v>
      </c>
    </row>
    <row r="118" spans="1:11" x14ac:dyDescent="0.25">
      <c r="B118" s="1" t="s">
        <v>8</v>
      </c>
      <c r="D118" s="4">
        <v>2000</v>
      </c>
      <c r="E118" s="1" t="s">
        <v>9</v>
      </c>
      <c r="F118" s="5">
        <f t="shared" si="15"/>
        <v>490.86446686664846</v>
      </c>
      <c r="G118" s="1" t="s">
        <v>10</v>
      </c>
      <c r="H118" s="2">
        <f t="shared" si="16"/>
        <v>8</v>
      </c>
      <c r="I118" s="1" t="s">
        <v>1</v>
      </c>
      <c r="J118" s="78" t="str">
        <f t="shared" si="17"/>
        <v>10.9</v>
      </c>
      <c r="K118" s="1" t="s">
        <v>0</v>
      </c>
    </row>
    <row r="119" spans="1:11" x14ac:dyDescent="0.25">
      <c r="D119" s="4"/>
      <c r="F119" s="5"/>
      <c r="H119" s="2"/>
      <c r="J119" s="5"/>
    </row>
    <row r="120" spans="1:11" x14ac:dyDescent="0.25">
      <c r="A120" s="7" t="s">
        <v>5</v>
      </c>
      <c r="B120" s="8">
        <v>90</v>
      </c>
      <c r="C120" s="9" t="s">
        <v>6</v>
      </c>
      <c r="D120" s="9"/>
      <c r="E120" s="9"/>
      <c r="F120" s="15">
        <f>$G$36*B120/100</f>
        <v>3.86</v>
      </c>
      <c r="G120" s="9" t="s">
        <v>7</v>
      </c>
      <c r="H120" s="9"/>
      <c r="I120" s="56" t="s">
        <v>17</v>
      </c>
      <c r="J120" s="15">
        <f>F120/1000*60*60</f>
        <v>13.895999999999999</v>
      </c>
      <c r="K120" s="10" t="s">
        <v>22</v>
      </c>
    </row>
    <row r="121" spans="1:11" x14ac:dyDescent="0.25">
      <c r="B121" s="1" t="s">
        <v>8</v>
      </c>
      <c r="D121" s="4">
        <v>100</v>
      </c>
      <c r="E121" s="1" t="s">
        <v>9</v>
      </c>
      <c r="F121" s="5">
        <f>D121/F$120</f>
        <v>25.906735751295336</v>
      </c>
      <c r="G121" s="1" t="s">
        <v>10</v>
      </c>
      <c r="H121" s="2">
        <f>INT(F121/60)</f>
        <v>0</v>
      </c>
      <c r="I121" s="1" t="s">
        <v>1</v>
      </c>
      <c r="J121" s="78" t="str">
        <f>TEXT(MOD(ROUNDDOWN(F121,2),60),"00.0")</f>
        <v>25.9</v>
      </c>
      <c r="K121" s="1" t="s">
        <v>0</v>
      </c>
    </row>
    <row r="122" spans="1:11" x14ac:dyDescent="0.25">
      <c r="B122" s="1" t="s">
        <v>8</v>
      </c>
      <c r="D122" s="4">
        <v>200</v>
      </c>
      <c r="E122" s="1" t="s">
        <v>9</v>
      </c>
      <c r="F122" s="5">
        <f t="shared" ref="F122:F130" si="18">D122/F$120</f>
        <v>51.813471502590673</v>
      </c>
      <c r="G122" s="1" t="s">
        <v>10</v>
      </c>
      <c r="H122" s="2">
        <f t="shared" ref="H122:H130" si="19">INT(F122/60)</f>
        <v>0</v>
      </c>
      <c r="I122" s="1" t="s">
        <v>1</v>
      </c>
      <c r="J122" s="78" t="str">
        <f t="shared" ref="J122:J130" si="20">TEXT(MOD(ROUNDDOWN(F122,2),60),"00.0")</f>
        <v>51.8</v>
      </c>
      <c r="K122" s="1" t="s">
        <v>0</v>
      </c>
    </row>
    <row r="123" spans="1:11" x14ac:dyDescent="0.25">
      <c r="B123" s="1" t="s">
        <v>8</v>
      </c>
      <c r="D123" s="4">
        <v>300</v>
      </c>
      <c r="E123" s="1" t="s">
        <v>9</v>
      </c>
      <c r="F123" s="5">
        <f t="shared" si="18"/>
        <v>77.720207253886016</v>
      </c>
      <c r="G123" s="1" t="s">
        <v>10</v>
      </c>
      <c r="H123" s="2">
        <f t="shared" si="19"/>
        <v>1</v>
      </c>
      <c r="I123" s="1" t="s">
        <v>1</v>
      </c>
      <c r="J123" s="78" t="str">
        <f t="shared" si="20"/>
        <v>17.7</v>
      </c>
      <c r="K123" s="1" t="s">
        <v>0</v>
      </c>
    </row>
    <row r="124" spans="1:11" x14ac:dyDescent="0.25">
      <c r="B124" s="1" t="s">
        <v>8</v>
      </c>
      <c r="D124" s="4">
        <v>400</v>
      </c>
      <c r="E124" s="1" t="s">
        <v>9</v>
      </c>
      <c r="F124" s="5">
        <f t="shared" si="18"/>
        <v>103.62694300518135</v>
      </c>
      <c r="G124" s="1" t="s">
        <v>10</v>
      </c>
      <c r="H124" s="2">
        <f t="shared" si="19"/>
        <v>1</v>
      </c>
      <c r="I124" s="1" t="s">
        <v>1</v>
      </c>
      <c r="J124" s="78" t="str">
        <f t="shared" si="20"/>
        <v>43.6</v>
      </c>
      <c r="K124" s="1" t="s">
        <v>0</v>
      </c>
    </row>
    <row r="125" spans="1:11" x14ac:dyDescent="0.25">
      <c r="B125" s="1" t="s">
        <v>8</v>
      </c>
      <c r="D125" s="4">
        <v>600</v>
      </c>
      <c r="E125" s="1" t="s">
        <v>9</v>
      </c>
      <c r="F125" s="5">
        <f t="shared" si="18"/>
        <v>155.44041450777203</v>
      </c>
      <c r="G125" s="1" t="s">
        <v>10</v>
      </c>
      <c r="H125" s="2">
        <f t="shared" si="19"/>
        <v>2</v>
      </c>
      <c r="I125" s="1" t="s">
        <v>1</v>
      </c>
      <c r="J125" s="78" t="str">
        <f t="shared" si="20"/>
        <v>35.4</v>
      </c>
      <c r="K125" s="1" t="s">
        <v>0</v>
      </c>
    </row>
    <row r="126" spans="1:11" x14ac:dyDescent="0.25">
      <c r="B126" s="1" t="s">
        <v>8</v>
      </c>
      <c r="D126" s="4">
        <v>800</v>
      </c>
      <c r="E126" s="1" t="s">
        <v>9</v>
      </c>
      <c r="F126" s="5">
        <f t="shared" si="18"/>
        <v>207.25388601036269</v>
      </c>
      <c r="G126" s="1" t="s">
        <v>10</v>
      </c>
      <c r="H126" s="2">
        <f t="shared" si="19"/>
        <v>3</v>
      </c>
      <c r="I126" s="1" t="s">
        <v>1</v>
      </c>
      <c r="J126" s="78" t="str">
        <f t="shared" si="20"/>
        <v>27.3</v>
      </c>
      <c r="K126" s="1" t="s">
        <v>0</v>
      </c>
    </row>
    <row r="127" spans="1:11" x14ac:dyDescent="0.25">
      <c r="B127" s="1" t="s">
        <v>8</v>
      </c>
      <c r="D127" s="4">
        <v>1000</v>
      </c>
      <c r="E127" s="1" t="s">
        <v>9</v>
      </c>
      <c r="F127" s="5">
        <f t="shared" si="18"/>
        <v>259.06735751295338</v>
      </c>
      <c r="G127" s="1" t="s">
        <v>10</v>
      </c>
      <c r="H127" s="2">
        <f t="shared" si="19"/>
        <v>4</v>
      </c>
      <c r="I127" s="1" t="s">
        <v>1</v>
      </c>
      <c r="J127" s="78" t="str">
        <f t="shared" si="20"/>
        <v>19.1</v>
      </c>
      <c r="K127" s="1" t="s">
        <v>0</v>
      </c>
    </row>
    <row r="128" spans="1:11" x14ac:dyDescent="0.25">
      <c r="B128" s="1" t="s">
        <v>8</v>
      </c>
      <c r="D128" s="4">
        <v>1200</v>
      </c>
      <c r="E128" s="1" t="s">
        <v>9</v>
      </c>
      <c r="F128" s="5">
        <f t="shared" si="18"/>
        <v>310.88082901554407</v>
      </c>
      <c r="G128" s="1" t="s">
        <v>10</v>
      </c>
      <c r="H128" s="2">
        <f t="shared" si="19"/>
        <v>5</v>
      </c>
      <c r="I128" s="1" t="s">
        <v>1</v>
      </c>
      <c r="J128" s="78" t="str">
        <f t="shared" si="20"/>
        <v>10.9</v>
      </c>
      <c r="K128" s="1" t="s">
        <v>0</v>
      </c>
    </row>
    <row r="129" spans="1:11" x14ac:dyDescent="0.25">
      <c r="B129" s="1" t="s">
        <v>8</v>
      </c>
      <c r="D129" s="4">
        <v>1600</v>
      </c>
      <c r="E129" s="1" t="s">
        <v>9</v>
      </c>
      <c r="F129" s="5">
        <f t="shared" si="18"/>
        <v>414.50777202072538</v>
      </c>
      <c r="G129" s="1" t="s">
        <v>10</v>
      </c>
      <c r="H129" s="2">
        <f t="shared" si="19"/>
        <v>6</v>
      </c>
      <c r="I129" s="1" t="s">
        <v>1</v>
      </c>
      <c r="J129" s="78" t="str">
        <f t="shared" si="20"/>
        <v>54.5</v>
      </c>
      <c r="K129" s="1" t="s">
        <v>0</v>
      </c>
    </row>
    <row r="130" spans="1:11" x14ac:dyDescent="0.25">
      <c r="B130" s="1" t="s">
        <v>8</v>
      </c>
      <c r="D130" s="4">
        <v>2000</v>
      </c>
      <c r="E130" s="1" t="s">
        <v>9</v>
      </c>
      <c r="F130" s="5">
        <f t="shared" si="18"/>
        <v>518.13471502590676</v>
      </c>
      <c r="G130" s="1" t="s">
        <v>10</v>
      </c>
      <c r="H130" s="2">
        <f t="shared" si="19"/>
        <v>8</v>
      </c>
      <c r="I130" s="1" t="s">
        <v>1</v>
      </c>
      <c r="J130" s="78" t="str">
        <f t="shared" si="20"/>
        <v>38.1</v>
      </c>
      <c r="K130" s="1" t="s">
        <v>0</v>
      </c>
    </row>
    <row r="131" spans="1:11" x14ac:dyDescent="0.25">
      <c r="D131" s="4"/>
      <c r="F131" s="5"/>
      <c r="H131" s="2"/>
      <c r="J131" s="5"/>
    </row>
    <row r="132" spans="1:11" x14ac:dyDescent="0.25">
      <c r="A132" s="7" t="s">
        <v>5</v>
      </c>
      <c r="B132" s="8">
        <v>85</v>
      </c>
      <c r="C132" s="9" t="s">
        <v>6</v>
      </c>
      <c r="D132" s="9"/>
      <c r="E132" s="9"/>
      <c r="F132" s="15">
        <f>$G$36*B132/100</f>
        <v>3.6455555555555552</v>
      </c>
      <c r="G132" s="9" t="s">
        <v>7</v>
      </c>
      <c r="H132" s="9"/>
      <c r="I132" s="56" t="s">
        <v>17</v>
      </c>
      <c r="J132" s="15">
        <f>F132/1000*60*60</f>
        <v>13.123999999999999</v>
      </c>
      <c r="K132" s="10" t="s">
        <v>22</v>
      </c>
    </row>
    <row r="133" spans="1:11" x14ac:dyDescent="0.25">
      <c r="B133" s="1" t="s">
        <v>8</v>
      </c>
      <c r="D133" s="4">
        <v>100</v>
      </c>
      <c r="E133" s="1" t="s">
        <v>9</v>
      </c>
      <c r="F133" s="5">
        <f>D133/F$132</f>
        <v>27.430661383724477</v>
      </c>
      <c r="G133" s="1" t="s">
        <v>10</v>
      </c>
      <c r="H133" s="2">
        <f>INT(F133/60)</f>
        <v>0</v>
      </c>
      <c r="I133" s="1" t="s">
        <v>1</v>
      </c>
      <c r="J133" s="78" t="str">
        <f>TEXT(MOD(ROUNDDOWN(F133,2),60),"00.0")</f>
        <v>27.4</v>
      </c>
      <c r="K133" s="1" t="s">
        <v>0</v>
      </c>
    </row>
    <row r="134" spans="1:11" x14ac:dyDescent="0.25">
      <c r="B134" s="1" t="s">
        <v>8</v>
      </c>
      <c r="D134" s="4">
        <v>200</v>
      </c>
      <c r="E134" s="1" t="s">
        <v>9</v>
      </c>
      <c r="F134" s="5">
        <f t="shared" ref="F134:F142" si="21">D134/F$132</f>
        <v>54.861322767448954</v>
      </c>
      <c r="G134" s="1" t="s">
        <v>10</v>
      </c>
      <c r="H134" s="2">
        <f t="shared" ref="H134:H142" si="22">INT(F134/60)</f>
        <v>0</v>
      </c>
      <c r="I134" s="1" t="s">
        <v>1</v>
      </c>
      <c r="J134" s="78" t="str">
        <f t="shared" ref="J134:J142" si="23">TEXT(MOD(ROUNDDOWN(F134,2),60),"00.0")</f>
        <v>54.9</v>
      </c>
      <c r="K134" s="1" t="s">
        <v>0</v>
      </c>
    </row>
    <row r="135" spans="1:11" x14ac:dyDescent="0.25">
      <c r="B135" s="1" t="s">
        <v>8</v>
      </c>
      <c r="D135" s="4">
        <v>300</v>
      </c>
      <c r="E135" s="1" t="s">
        <v>9</v>
      </c>
      <c r="F135" s="5">
        <f t="shared" si="21"/>
        <v>82.291984151173423</v>
      </c>
      <c r="G135" s="1" t="s">
        <v>10</v>
      </c>
      <c r="H135" s="2">
        <f t="shared" si="22"/>
        <v>1</v>
      </c>
      <c r="I135" s="1" t="s">
        <v>1</v>
      </c>
      <c r="J135" s="78" t="str">
        <f t="shared" si="23"/>
        <v>22.3</v>
      </c>
      <c r="K135" s="1" t="s">
        <v>0</v>
      </c>
    </row>
    <row r="136" spans="1:11" x14ac:dyDescent="0.25">
      <c r="B136" s="1" t="s">
        <v>8</v>
      </c>
      <c r="D136" s="4">
        <v>400</v>
      </c>
      <c r="E136" s="1" t="s">
        <v>9</v>
      </c>
      <c r="F136" s="5">
        <f t="shared" si="21"/>
        <v>109.72264553489791</v>
      </c>
      <c r="G136" s="1" t="s">
        <v>10</v>
      </c>
      <c r="H136" s="2">
        <f t="shared" si="22"/>
        <v>1</v>
      </c>
      <c r="I136" s="1" t="s">
        <v>1</v>
      </c>
      <c r="J136" s="78" t="str">
        <f t="shared" si="23"/>
        <v>49.7</v>
      </c>
      <c r="K136" s="1" t="s">
        <v>0</v>
      </c>
    </row>
    <row r="137" spans="1:11" x14ac:dyDescent="0.25">
      <c r="B137" s="1" t="s">
        <v>8</v>
      </c>
      <c r="D137" s="4">
        <v>600</v>
      </c>
      <c r="E137" s="1" t="s">
        <v>9</v>
      </c>
      <c r="F137" s="5">
        <f t="shared" si="21"/>
        <v>164.58396830234685</v>
      </c>
      <c r="G137" s="1" t="s">
        <v>10</v>
      </c>
      <c r="H137" s="2">
        <f t="shared" si="22"/>
        <v>2</v>
      </c>
      <c r="I137" s="1" t="s">
        <v>1</v>
      </c>
      <c r="J137" s="78" t="str">
        <f t="shared" si="23"/>
        <v>44.6</v>
      </c>
      <c r="K137" s="1" t="s">
        <v>0</v>
      </c>
    </row>
    <row r="138" spans="1:11" x14ac:dyDescent="0.25">
      <c r="B138" s="1" t="s">
        <v>8</v>
      </c>
      <c r="D138" s="4">
        <v>800</v>
      </c>
      <c r="E138" s="1" t="s">
        <v>9</v>
      </c>
      <c r="F138" s="5">
        <f t="shared" si="21"/>
        <v>219.44529106979581</v>
      </c>
      <c r="G138" s="1" t="s">
        <v>10</v>
      </c>
      <c r="H138" s="2">
        <f t="shared" si="22"/>
        <v>3</v>
      </c>
      <c r="I138" s="1" t="s">
        <v>1</v>
      </c>
      <c r="J138" s="78" t="str">
        <f t="shared" si="23"/>
        <v>39.4</v>
      </c>
      <c r="K138" s="1" t="s">
        <v>0</v>
      </c>
    </row>
    <row r="139" spans="1:11" x14ac:dyDescent="0.25">
      <c r="B139" s="1" t="s">
        <v>8</v>
      </c>
      <c r="D139" s="4">
        <v>1000</v>
      </c>
      <c r="E139" s="1" t="s">
        <v>9</v>
      </c>
      <c r="F139" s="5">
        <f t="shared" si="21"/>
        <v>274.30661383724475</v>
      </c>
      <c r="G139" s="1" t="s">
        <v>10</v>
      </c>
      <c r="H139" s="2">
        <f t="shared" si="22"/>
        <v>4</v>
      </c>
      <c r="I139" s="1" t="s">
        <v>1</v>
      </c>
      <c r="J139" s="78" t="str">
        <f t="shared" si="23"/>
        <v>34.3</v>
      </c>
      <c r="K139" s="1" t="s">
        <v>0</v>
      </c>
    </row>
    <row r="140" spans="1:11" x14ac:dyDescent="0.25">
      <c r="B140" s="1" t="s">
        <v>8</v>
      </c>
      <c r="D140" s="4">
        <v>1200</v>
      </c>
      <c r="E140" s="1" t="s">
        <v>9</v>
      </c>
      <c r="F140" s="5">
        <f t="shared" si="21"/>
        <v>329.16793660469369</v>
      </c>
      <c r="G140" s="1" t="s">
        <v>10</v>
      </c>
      <c r="H140" s="2">
        <f t="shared" si="22"/>
        <v>5</v>
      </c>
      <c r="I140" s="1" t="s">
        <v>1</v>
      </c>
      <c r="J140" s="78" t="str">
        <f t="shared" si="23"/>
        <v>29.2</v>
      </c>
      <c r="K140" s="1" t="s">
        <v>0</v>
      </c>
    </row>
    <row r="141" spans="1:11" x14ac:dyDescent="0.25">
      <c r="B141" s="1" t="s">
        <v>8</v>
      </c>
      <c r="D141" s="4">
        <v>1600</v>
      </c>
      <c r="E141" s="1" t="s">
        <v>9</v>
      </c>
      <c r="F141" s="5">
        <f t="shared" si="21"/>
        <v>438.89058213959163</v>
      </c>
      <c r="G141" s="1" t="s">
        <v>10</v>
      </c>
      <c r="H141" s="2">
        <f t="shared" si="22"/>
        <v>7</v>
      </c>
      <c r="I141" s="1" t="s">
        <v>1</v>
      </c>
      <c r="J141" s="78" t="str">
        <f t="shared" si="23"/>
        <v>18.9</v>
      </c>
      <c r="K141" s="1" t="s">
        <v>0</v>
      </c>
    </row>
    <row r="142" spans="1:11" x14ac:dyDescent="0.25">
      <c r="B142" s="1" t="s">
        <v>8</v>
      </c>
      <c r="D142" s="4">
        <v>2000</v>
      </c>
      <c r="E142" s="1" t="s">
        <v>9</v>
      </c>
      <c r="F142" s="5">
        <f t="shared" si="21"/>
        <v>548.61322767448951</v>
      </c>
      <c r="G142" s="1" t="s">
        <v>10</v>
      </c>
      <c r="H142" s="2">
        <f t="shared" si="22"/>
        <v>9</v>
      </c>
      <c r="I142" s="1" t="s">
        <v>1</v>
      </c>
      <c r="J142" s="78" t="str">
        <f t="shared" si="23"/>
        <v>08.6</v>
      </c>
      <c r="K142" s="1" t="s">
        <v>0</v>
      </c>
    </row>
    <row r="143" spans="1:11" x14ac:dyDescent="0.25">
      <c r="D143" s="4"/>
      <c r="F143" s="5"/>
      <c r="H143" s="2"/>
      <c r="J143" s="5"/>
    </row>
    <row r="144" spans="1:11" x14ac:dyDescent="0.25">
      <c r="A144" s="7" t="s">
        <v>5</v>
      </c>
      <c r="B144" s="8">
        <v>80</v>
      </c>
      <c r="C144" s="9" t="s">
        <v>6</v>
      </c>
      <c r="D144" s="9"/>
      <c r="E144" s="9"/>
      <c r="F144" s="15">
        <f>$G$36*B144/100</f>
        <v>3.431111111111111</v>
      </c>
      <c r="G144" s="9" t="s">
        <v>7</v>
      </c>
      <c r="H144" s="9"/>
      <c r="I144" s="56" t="s">
        <v>17</v>
      </c>
      <c r="J144" s="15">
        <f>F144/1000*60*60</f>
        <v>12.351999999999999</v>
      </c>
      <c r="K144" s="10" t="s">
        <v>22</v>
      </c>
    </row>
    <row r="145" spans="1:11" x14ac:dyDescent="0.25">
      <c r="B145" s="1" t="s">
        <v>8</v>
      </c>
      <c r="D145" s="4">
        <v>100</v>
      </c>
      <c r="E145" s="1" t="s">
        <v>9</v>
      </c>
      <c r="F145" s="5">
        <f>D145/F$144</f>
        <v>29.145077720207254</v>
      </c>
      <c r="G145" s="1" t="s">
        <v>10</v>
      </c>
      <c r="H145" s="2">
        <f>INT(F145/60)</f>
        <v>0</v>
      </c>
      <c r="I145" s="1" t="s">
        <v>1</v>
      </c>
      <c r="J145" s="78" t="str">
        <f>TEXT(MOD(ROUNDDOWN(F145,2),60),"00.0")</f>
        <v>29.1</v>
      </c>
      <c r="K145" s="1" t="s">
        <v>0</v>
      </c>
    </row>
    <row r="146" spans="1:11" x14ac:dyDescent="0.25">
      <c r="B146" s="1" t="s">
        <v>8</v>
      </c>
      <c r="D146" s="4">
        <v>200</v>
      </c>
      <c r="E146" s="1" t="s">
        <v>9</v>
      </c>
      <c r="F146" s="5">
        <f t="shared" ref="F146:F154" si="24">D146/F$144</f>
        <v>58.290155440414509</v>
      </c>
      <c r="G146" s="1" t="s">
        <v>10</v>
      </c>
      <c r="H146" s="2">
        <f t="shared" ref="H146:H154" si="25">INT(F146/60)</f>
        <v>0</v>
      </c>
      <c r="I146" s="1" t="s">
        <v>1</v>
      </c>
      <c r="J146" s="78" t="str">
        <f t="shared" ref="J146:J154" si="26">TEXT(MOD(ROUNDDOWN(F146,2),60),"00.0")</f>
        <v>58.3</v>
      </c>
      <c r="K146" s="1" t="s">
        <v>0</v>
      </c>
    </row>
    <row r="147" spans="1:11" x14ac:dyDescent="0.25">
      <c r="B147" s="1" t="s">
        <v>8</v>
      </c>
      <c r="D147" s="4">
        <v>300</v>
      </c>
      <c r="E147" s="1" t="s">
        <v>9</v>
      </c>
      <c r="F147" s="5">
        <f t="shared" si="24"/>
        <v>87.435233160621763</v>
      </c>
      <c r="G147" s="1" t="s">
        <v>10</v>
      </c>
      <c r="H147" s="2">
        <f t="shared" si="25"/>
        <v>1</v>
      </c>
      <c r="I147" s="1" t="s">
        <v>1</v>
      </c>
      <c r="J147" s="78" t="str">
        <f t="shared" si="26"/>
        <v>27.4</v>
      </c>
      <c r="K147" s="1" t="s">
        <v>0</v>
      </c>
    </row>
    <row r="148" spans="1:11" x14ac:dyDescent="0.25">
      <c r="B148" s="1" t="s">
        <v>8</v>
      </c>
      <c r="D148" s="4">
        <v>400</v>
      </c>
      <c r="E148" s="1" t="s">
        <v>9</v>
      </c>
      <c r="F148" s="5">
        <f t="shared" si="24"/>
        <v>116.58031088082902</v>
      </c>
      <c r="G148" s="1" t="s">
        <v>10</v>
      </c>
      <c r="H148" s="2">
        <f t="shared" si="25"/>
        <v>1</v>
      </c>
      <c r="I148" s="1" t="s">
        <v>1</v>
      </c>
      <c r="J148" s="78" t="str">
        <f t="shared" si="26"/>
        <v>56.6</v>
      </c>
      <c r="K148" s="1" t="s">
        <v>0</v>
      </c>
    </row>
    <row r="149" spans="1:11" x14ac:dyDescent="0.25">
      <c r="B149" s="1" t="s">
        <v>8</v>
      </c>
      <c r="D149" s="4">
        <v>600</v>
      </c>
      <c r="E149" s="1" t="s">
        <v>9</v>
      </c>
      <c r="F149" s="5">
        <f t="shared" si="24"/>
        <v>174.87046632124353</v>
      </c>
      <c r="G149" s="1" t="s">
        <v>10</v>
      </c>
      <c r="H149" s="2">
        <f t="shared" si="25"/>
        <v>2</v>
      </c>
      <c r="I149" s="1" t="s">
        <v>1</v>
      </c>
      <c r="J149" s="78" t="str">
        <f t="shared" si="26"/>
        <v>54.9</v>
      </c>
      <c r="K149" s="1" t="s">
        <v>0</v>
      </c>
    </row>
    <row r="150" spans="1:11" x14ac:dyDescent="0.25">
      <c r="B150" s="1" t="s">
        <v>8</v>
      </c>
      <c r="D150" s="4">
        <v>800</v>
      </c>
      <c r="E150" s="1" t="s">
        <v>9</v>
      </c>
      <c r="F150" s="5">
        <f t="shared" si="24"/>
        <v>233.16062176165804</v>
      </c>
      <c r="G150" s="1" t="s">
        <v>10</v>
      </c>
      <c r="H150" s="2">
        <f t="shared" si="25"/>
        <v>3</v>
      </c>
      <c r="I150" s="1" t="s">
        <v>1</v>
      </c>
      <c r="J150" s="78" t="str">
        <f t="shared" si="26"/>
        <v>53.2</v>
      </c>
      <c r="K150" s="1" t="s">
        <v>0</v>
      </c>
    </row>
    <row r="151" spans="1:11" x14ac:dyDescent="0.25">
      <c r="B151" s="1" t="s">
        <v>8</v>
      </c>
      <c r="D151" s="4">
        <v>1000</v>
      </c>
      <c r="E151" s="1" t="s">
        <v>9</v>
      </c>
      <c r="F151" s="5">
        <f t="shared" si="24"/>
        <v>291.45077720207257</v>
      </c>
      <c r="G151" s="1" t="s">
        <v>10</v>
      </c>
      <c r="H151" s="2">
        <f t="shared" si="25"/>
        <v>4</v>
      </c>
      <c r="I151" s="1" t="s">
        <v>1</v>
      </c>
      <c r="J151" s="78" t="str">
        <f t="shared" si="26"/>
        <v>51.5</v>
      </c>
      <c r="K151" s="1" t="s">
        <v>0</v>
      </c>
    </row>
    <row r="152" spans="1:11" x14ac:dyDescent="0.25">
      <c r="B152" s="1" t="s">
        <v>8</v>
      </c>
      <c r="D152" s="4">
        <v>1200</v>
      </c>
      <c r="E152" s="1" t="s">
        <v>9</v>
      </c>
      <c r="F152" s="5">
        <f t="shared" si="24"/>
        <v>349.74093264248705</v>
      </c>
      <c r="G152" s="1" t="s">
        <v>10</v>
      </c>
      <c r="H152" s="2">
        <f t="shared" si="25"/>
        <v>5</v>
      </c>
      <c r="I152" s="1" t="s">
        <v>1</v>
      </c>
      <c r="J152" s="78" t="str">
        <f t="shared" si="26"/>
        <v>49.7</v>
      </c>
      <c r="K152" s="1" t="s">
        <v>0</v>
      </c>
    </row>
    <row r="153" spans="1:11" x14ac:dyDescent="0.25">
      <c r="B153" s="1" t="s">
        <v>8</v>
      </c>
      <c r="D153" s="4">
        <v>1600</v>
      </c>
      <c r="E153" s="1" t="s">
        <v>9</v>
      </c>
      <c r="F153" s="5">
        <f t="shared" si="24"/>
        <v>466.32124352331607</v>
      </c>
      <c r="G153" s="1" t="s">
        <v>10</v>
      </c>
      <c r="H153" s="2">
        <f t="shared" si="25"/>
        <v>7</v>
      </c>
      <c r="I153" s="1" t="s">
        <v>1</v>
      </c>
      <c r="J153" s="78" t="str">
        <f t="shared" si="26"/>
        <v>46.3</v>
      </c>
      <c r="K153" s="1" t="s">
        <v>0</v>
      </c>
    </row>
    <row r="154" spans="1:11" x14ac:dyDescent="0.25">
      <c r="B154" s="1" t="s">
        <v>8</v>
      </c>
      <c r="D154" s="4">
        <v>2000</v>
      </c>
      <c r="E154" s="1" t="s">
        <v>9</v>
      </c>
      <c r="F154" s="5">
        <f t="shared" si="24"/>
        <v>582.90155440414514</v>
      </c>
      <c r="G154" s="1" t="s">
        <v>10</v>
      </c>
      <c r="H154" s="2">
        <f t="shared" si="25"/>
        <v>9</v>
      </c>
      <c r="I154" s="1" t="s">
        <v>1</v>
      </c>
      <c r="J154" s="78" t="str">
        <f t="shared" si="26"/>
        <v>42.9</v>
      </c>
      <c r="K154" s="1" t="s">
        <v>0</v>
      </c>
    </row>
    <row r="155" spans="1:11" x14ac:dyDescent="0.25">
      <c r="D155" s="4"/>
      <c r="F155" s="5"/>
      <c r="H155" s="2"/>
      <c r="J155" s="5"/>
    </row>
    <row r="156" spans="1:11" x14ac:dyDescent="0.25">
      <c r="A156" s="7" t="s">
        <v>5</v>
      </c>
      <c r="B156" s="8">
        <v>75</v>
      </c>
      <c r="C156" s="9" t="s">
        <v>6</v>
      </c>
      <c r="D156" s="9"/>
      <c r="E156" s="9"/>
      <c r="F156" s="15">
        <f>$G$36*B156/100</f>
        <v>3.2166666666666663</v>
      </c>
      <c r="G156" s="9" t="s">
        <v>7</v>
      </c>
      <c r="H156" s="9"/>
      <c r="I156" s="56" t="s">
        <v>17</v>
      </c>
      <c r="J156" s="15">
        <f>F156/1000*60*60</f>
        <v>11.579999999999998</v>
      </c>
      <c r="K156" s="10" t="s">
        <v>22</v>
      </c>
    </row>
    <row r="157" spans="1:11" x14ac:dyDescent="0.25">
      <c r="B157" s="1" t="s">
        <v>8</v>
      </c>
      <c r="D157" s="4">
        <v>100</v>
      </c>
      <c r="E157" s="1" t="s">
        <v>9</v>
      </c>
      <c r="F157" s="5">
        <f>D157/F$156</f>
        <v>31.088082901554408</v>
      </c>
      <c r="G157" s="1" t="s">
        <v>10</v>
      </c>
      <c r="H157" s="2">
        <f>INT(F157/60)</f>
        <v>0</v>
      </c>
      <c r="I157" s="1" t="s">
        <v>1</v>
      </c>
      <c r="J157" s="78" t="str">
        <f>TEXT(MOD(ROUNDDOWN(F157,2),60),"00.0")</f>
        <v>31.1</v>
      </c>
      <c r="K157" s="1" t="s">
        <v>0</v>
      </c>
    </row>
    <row r="158" spans="1:11" x14ac:dyDescent="0.25">
      <c r="B158" s="1" t="s">
        <v>8</v>
      </c>
      <c r="D158" s="4">
        <v>200</v>
      </c>
      <c r="E158" s="1" t="s">
        <v>9</v>
      </c>
      <c r="F158" s="5">
        <f t="shared" ref="F158:F166" si="27">D158/F$156</f>
        <v>62.176165803108816</v>
      </c>
      <c r="G158" s="1" t="s">
        <v>10</v>
      </c>
      <c r="H158" s="2">
        <f t="shared" ref="H158:H166" si="28">INT(F158/60)</f>
        <v>1</v>
      </c>
      <c r="I158" s="1" t="s">
        <v>1</v>
      </c>
      <c r="J158" s="78" t="str">
        <f t="shared" ref="J158:J166" si="29">TEXT(MOD(ROUNDDOWN(F158,2),60),"00.0")</f>
        <v>02.2</v>
      </c>
      <c r="K158" s="1" t="s">
        <v>0</v>
      </c>
    </row>
    <row r="159" spans="1:11" x14ac:dyDescent="0.25">
      <c r="B159" s="1" t="s">
        <v>8</v>
      </c>
      <c r="D159" s="4">
        <v>300</v>
      </c>
      <c r="E159" s="1" t="s">
        <v>9</v>
      </c>
      <c r="F159" s="5">
        <f t="shared" si="27"/>
        <v>93.264248704663217</v>
      </c>
      <c r="G159" s="1" t="s">
        <v>10</v>
      </c>
      <c r="H159" s="2">
        <f t="shared" si="28"/>
        <v>1</v>
      </c>
      <c r="I159" s="1" t="s">
        <v>1</v>
      </c>
      <c r="J159" s="78" t="str">
        <f t="shared" si="29"/>
        <v>33.3</v>
      </c>
      <c r="K159" s="1" t="s">
        <v>0</v>
      </c>
    </row>
    <row r="160" spans="1:11" x14ac:dyDescent="0.25">
      <c r="B160" s="1" t="s">
        <v>8</v>
      </c>
      <c r="D160" s="4">
        <v>400</v>
      </c>
      <c r="E160" s="1" t="s">
        <v>9</v>
      </c>
      <c r="F160" s="5">
        <f t="shared" si="27"/>
        <v>124.35233160621763</v>
      </c>
      <c r="G160" s="1" t="s">
        <v>10</v>
      </c>
      <c r="H160" s="2">
        <f t="shared" si="28"/>
        <v>2</v>
      </c>
      <c r="I160" s="1" t="s">
        <v>1</v>
      </c>
      <c r="J160" s="78" t="str">
        <f t="shared" si="29"/>
        <v>04.3</v>
      </c>
      <c r="K160" s="1" t="s">
        <v>0</v>
      </c>
    </row>
    <row r="161" spans="1:11" x14ac:dyDescent="0.25">
      <c r="B161" s="1" t="s">
        <v>8</v>
      </c>
      <c r="D161" s="4">
        <v>600</v>
      </c>
      <c r="E161" s="1" t="s">
        <v>9</v>
      </c>
      <c r="F161" s="5">
        <f t="shared" si="27"/>
        <v>186.52849740932643</v>
      </c>
      <c r="G161" s="1" t="s">
        <v>10</v>
      </c>
      <c r="H161" s="2">
        <f t="shared" si="28"/>
        <v>3</v>
      </c>
      <c r="I161" s="1" t="s">
        <v>1</v>
      </c>
      <c r="J161" s="78" t="str">
        <f t="shared" si="29"/>
        <v>06.5</v>
      </c>
      <c r="K161" s="1" t="s">
        <v>0</v>
      </c>
    </row>
    <row r="162" spans="1:11" x14ac:dyDescent="0.25">
      <c r="B162" s="1" t="s">
        <v>8</v>
      </c>
      <c r="D162" s="4">
        <v>800</v>
      </c>
      <c r="E162" s="1" t="s">
        <v>9</v>
      </c>
      <c r="F162" s="5">
        <f t="shared" si="27"/>
        <v>248.70466321243526</v>
      </c>
      <c r="G162" s="1" t="s">
        <v>10</v>
      </c>
      <c r="H162" s="2">
        <f t="shared" si="28"/>
        <v>4</v>
      </c>
      <c r="I162" s="1" t="s">
        <v>1</v>
      </c>
      <c r="J162" s="78" t="str">
        <f t="shared" si="29"/>
        <v>08.7</v>
      </c>
      <c r="K162" s="1" t="s">
        <v>0</v>
      </c>
    </row>
    <row r="163" spans="1:11" x14ac:dyDescent="0.25">
      <c r="B163" s="1" t="s">
        <v>8</v>
      </c>
      <c r="D163" s="4">
        <v>1000</v>
      </c>
      <c r="E163" s="1" t="s">
        <v>9</v>
      </c>
      <c r="F163" s="5">
        <f t="shared" si="27"/>
        <v>310.88082901554407</v>
      </c>
      <c r="G163" s="1" t="s">
        <v>10</v>
      </c>
      <c r="H163" s="2">
        <f t="shared" si="28"/>
        <v>5</v>
      </c>
      <c r="I163" s="1" t="s">
        <v>1</v>
      </c>
      <c r="J163" s="78" t="str">
        <f t="shared" si="29"/>
        <v>10.9</v>
      </c>
      <c r="K163" s="1" t="s">
        <v>0</v>
      </c>
    </row>
    <row r="164" spans="1:11" x14ac:dyDescent="0.25">
      <c r="B164" s="1" t="s">
        <v>8</v>
      </c>
      <c r="D164" s="4">
        <v>1200</v>
      </c>
      <c r="E164" s="1" t="s">
        <v>9</v>
      </c>
      <c r="F164" s="5">
        <f t="shared" si="27"/>
        <v>373.05699481865287</v>
      </c>
      <c r="G164" s="1" t="s">
        <v>10</v>
      </c>
      <c r="H164" s="2">
        <f t="shared" si="28"/>
        <v>6</v>
      </c>
      <c r="I164" s="1" t="s">
        <v>1</v>
      </c>
      <c r="J164" s="78" t="str">
        <f t="shared" si="29"/>
        <v>13.1</v>
      </c>
      <c r="K164" s="1" t="s">
        <v>0</v>
      </c>
    </row>
    <row r="165" spans="1:11" x14ac:dyDescent="0.25">
      <c r="B165" s="1" t="s">
        <v>8</v>
      </c>
      <c r="D165" s="4">
        <v>1600</v>
      </c>
      <c r="E165" s="1" t="s">
        <v>9</v>
      </c>
      <c r="F165" s="5">
        <f t="shared" si="27"/>
        <v>497.40932642487053</v>
      </c>
      <c r="G165" s="1" t="s">
        <v>10</v>
      </c>
      <c r="H165" s="2">
        <f t="shared" si="28"/>
        <v>8</v>
      </c>
      <c r="I165" s="1" t="s">
        <v>1</v>
      </c>
      <c r="J165" s="78" t="str">
        <f t="shared" si="29"/>
        <v>17.4</v>
      </c>
      <c r="K165" s="1" t="s">
        <v>0</v>
      </c>
    </row>
    <row r="166" spans="1:11" x14ac:dyDescent="0.25">
      <c r="B166" s="1" t="s">
        <v>8</v>
      </c>
      <c r="D166" s="4">
        <v>2000</v>
      </c>
      <c r="E166" s="1" t="s">
        <v>9</v>
      </c>
      <c r="F166" s="5">
        <f t="shared" si="27"/>
        <v>621.76165803108813</v>
      </c>
      <c r="G166" s="1" t="s">
        <v>10</v>
      </c>
      <c r="H166" s="2">
        <f t="shared" si="28"/>
        <v>10</v>
      </c>
      <c r="I166" s="1" t="s">
        <v>1</v>
      </c>
      <c r="J166" s="78" t="str">
        <f t="shared" si="29"/>
        <v>21.8</v>
      </c>
      <c r="K166" s="1" t="s">
        <v>0</v>
      </c>
    </row>
    <row r="167" spans="1:11" x14ac:dyDescent="0.25">
      <c r="D167" s="4"/>
      <c r="F167" s="5"/>
      <c r="H167" s="2"/>
      <c r="J167" s="5"/>
    </row>
    <row r="168" spans="1:11" x14ac:dyDescent="0.25">
      <c r="A168" s="7" t="s">
        <v>5</v>
      </c>
      <c r="B168" s="8">
        <v>70</v>
      </c>
      <c r="C168" s="9" t="s">
        <v>6</v>
      </c>
      <c r="D168" s="9"/>
      <c r="E168" s="9"/>
      <c r="F168" s="15">
        <f>$G$36*B168/100</f>
        <v>3.0022222222222221</v>
      </c>
      <c r="G168" s="9" t="s">
        <v>7</v>
      </c>
      <c r="H168" s="9"/>
      <c r="I168" s="56" t="s">
        <v>17</v>
      </c>
      <c r="J168" s="15">
        <f>F168/1000*60*60</f>
        <v>10.807999999999998</v>
      </c>
      <c r="K168" s="10" t="s">
        <v>22</v>
      </c>
    </row>
    <row r="169" spans="1:11" x14ac:dyDescent="0.25">
      <c r="B169" s="1" t="s">
        <v>8</v>
      </c>
      <c r="D169" s="4">
        <v>100</v>
      </c>
      <c r="E169" s="1" t="s">
        <v>9</v>
      </c>
      <c r="F169" s="5">
        <f>D169/F$168</f>
        <v>33.308660251665437</v>
      </c>
      <c r="G169" s="1" t="s">
        <v>10</v>
      </c>
      <c r="H169" s="2">
        <f>INT(F169/60)</f>
        <v>0</v>
      </c>
      <c r="I169" s="1" t="s">
        <v>1</v>
      </c>
      <c r="J169" s="78" t="str">
        <f>TEXT(MOD(ROUNDDOWN(F169,2),60),"00.0")</f>
        <v>33.3</v>
      </c>
      <c r="K169" s="1" t="s">
        <v>0</v>
      </c>
    </row>
    <row r="170" spans="1:11" x14ac:dyDescent="0.25">
      <c r="B170" s="1" t="s">
        <v>8</v>
      </c>
      <c r="D170" s="4">
        <v>200</v>
      </c>
      <c r="E170" s="1" t="s">
        <v>9</v>
      </c>
      <c r="F170" s="5">
        <f t="shared" ref="F170:F178" si="30">D170/F$168</f>
        <v>66.617320503330873</v>
      </c>
      <c r="G170" s="1" t="s">
        <v>10</v>
      </c>
      <c r="H170" s="2">
        <f t="shared" ref="H170:H178" si="31">INT(F170/60)</f>
        <v>1</v>
      </c>
      <c r="I170" s="1" t="s">
        <v>1</v>
      </c>
      <c r="J170" s="78" t="str">
        <f t="shared" ref="J170:J178" si="32">TEXT(MOD(ROUNDDOWN(F170,2),60),"00.0")</f>
        <v>06.6</v>
      </c>
      <c r="K170" s="1" t="s">
        <v>0</v>
      </c>
    </row>
    <row r="171" spans="1:11" x14ac:dyDescent="0.25">
      <c r="B171" s="1" t="s">
        <v>8</v>
      </c>
      <c r="D171" s="4">
        <v>300</v>
      </c>
      <c r="E171" s="1" t="s">
        <v>9</v>
      </c>
      <c r="F171" s="5">
        <f t="shared" si="30"/>
        <v>99.925980754996303</v>
      </c>
      <c r="G171" s="1" t="s">
        <v>10</v>
      </c>
      <c r="H171" s="2">
        <f t="shared" si="31"/>
        <v>1</v>
      </c>
      <c r="I171" s="1" t="s">
        <v>1</v>
      </c>
      <c r="J171" s="78" t="str">
        <f t="shared" si="32"/>
        <v>39.9</v>
      </c>
      <c r="K171" s="1" t="s">
        <v>0</v>
      </c>
    </row>
    <row r="172" spans="1:11" x14ac:dyDescent="0.25">
      <c r="B172" s="1" t="s">
        <v>8</v>
      </c>
      <c r="D172" s="4">
        <v>400</v>
      </c>
      <c r="E172" s="1" t="s">
        <v>9</v>
      </c>
      <c r="F172" s="5">
        <f t="shared" si="30"/>
        <v>133.23464100666175</v>
      </c>
      <c r="G172" s="1" t="s">
        <v>10</v>
      </c>
      <c r="H172" s="2">
        <f t="shared" si="31"/>
        <v>2</v>
      </c>
      <c r="I172" s="1" t="s">
        <v>1</v>
      </c>
      <c r="J172" s="78" t="str">
        <f t="shared" si="32"/>
        <v>13.2</v>
      </c>
      <c r="K172" s="1" t="s">
        <v>0</v>
      </c>
    </row>
    <row r="173" spans="1:11" x14ac:dyDescent="0.25">
      <c r="B173" s="1" t="s">
        <v>8</v>
      </c>
      <c r="D173" s="4">
        <v>600</v>
      </c>
      <c r="E173" s="1" t="s">
        <v>9</v>
      </c>
      <c r="F173" s="5">
        <f t="shared" si="30"/>
        <v>199.85196150999261</v>
      </c>
      <c r="G173" s="1" t="s">
        <v>10</v>
      </c>
      <c r="H173" s="2">
        <f t="shared" si="31"/>
        <v>3</v>
      </c>
      <c r="I173" s="1" t="s">
        <v>1</v>
      </c>
      <c r="J173" s="78" t="str">
        <f t="shared" si="32"/>
        <v>19.9</v>
      </c>
      <c r="K173" s="1" t="s">
        <v>0</v>
      </c>
    </row>
    <row r="174" spans="1:11" x14ac:dyDescent="0.25">
      <c r="B174" s="1" t="s">
        <v>8</v>
      </c>
      <c r="D174" s="4">
        <v>800</v>
      </c>
      <c r="E174" s="1" t="s">
        <v>9</v>
      </c>
      <c r="F174" s="5">
        <f t="shared" si="30"/>
        <v>266.46928201332349</v>
      </c>
      <c r="G174" s="1" t="s">
        <v>10</v>
      </c>
      <c r="H174" s="2">
        <f t="shared" si="31"/>
        <v>4</v>
      </c>
      <c r="I174" s="1" t="s">
        <v>1</v>
      </c>
      <c r="J174" s="78" t="str">
        <f t="shared" si="32"/>
        <v>26.5</v>
      </c>
      <c r="K174" s="1" t="s">
        <v>0</v>
      </c>
    </row>
    <row r="175" spans="1:11" x14ac:dyDescent="0.25">
      <c r="B175" s="1" t="s">
        <v>8</v>
      </c>
      <c r="D175" s="4">
        <v>1000</v>
      </c>
      <c r="E175" s="1" t="s">
        <v>9</v>
      </c>
      <c r="F175" s="5">
        <f t="shared" si="30"/>
        <v>333.08660251665435</v>
      </c>
      <c r="G175" s="1" t="s">
        <v>10</v>
      </c>
      <c r="H175" s="2">
        <f t="shared" si="31"/>
        <v>5</v>
      </c>
      <c r="I175" s="1" t="s">
        <v>1</v>
      </c>
      <c r="J175" s="78" t="str">
        <f t="shared" si="32"/>
        <v>33.1</v>
      </c>
      <c r="K175" s="1" t="s">
        <v>0</v>
      </c>
    </row>
    <row r="176" spans="1:11" x14ac:dyDescent="0.25">
      <c r="B176" s="1" t="s">
        <v>8</v>
      </c>
      <c r="D176" s="4">
        <v>1200</v>
      </c>
      <c r="E176" s="1" t="s">
        <v>9</v>
      </c>
      <c r="F176" s="5">
        <f t="shared" si="30"/>
        <v>399.70392301998521</v>
      </c>
      <c r="G176" s="1" t="s">
        <v>10</v>
      </c>
      <c r="H176" s="2">
        <f t="shared" si="31"/>
        <v>6</v>
      </c>
      <c r="I176" s="1" t="s">
        <v>1</v>
      </c>
      <c r="J176" s="78" t="str">
        <f t="shared" si="32"/>
        <v>39.7</v>
      </c>
      <c r="K176" s="1" t="s">
        <v>0</v>
      </c>
    </row>
    <row r="177" spans="1:11" x14ac:dyDescent="0.25">
      <c r="B177" s="1" t="s">
        <v>8</v>
      </c>
      <c r="D177" s="4">
        <v>1600</v>
      </c>
      <c r="E177" s="1" t="s">
        <v>9</v>
      </c>
      <c r="F177" s="5">
        <f t="shared" si="30"/>
        <v>532.93856402664699</v>
      </c>
      <c r="G177" s="1" t="s">
        <v>10</v>
      </c>
      <c r="H177" s="2">
        <f t="shared" si="31"/>
        <v>8</v>
      </c>
      <c r="I177" s="1" t="s">
        <v>1</v>
      </c>
      <c r="J177" s="78" t="str">
        <f t="shared" si="32"/>
        <v>52.9</v>
      </c>
      <c r="K177" s="1" t="s">
        <v>0</v>
      </c>
    </row>
    <row r="178" spans="1:11" x14ac:dyDescent="0.25">
      <c r="B178" s="1" t="s">
        <v>8</v>
      </c>
      <c r="D178" s="4">
        <v>2000</v>
      </c>
      <c r="E178" s="1" t="s">
        <v>9</v>
      </c>
      <c r="F178" s="5">
        <f t="shared" si="30"/>
        <v>666.1732050333087</v>
      </c>
      <c r="G178" s="1" t="s">
        <v>10</v>
      </c>
      <c r="H178" s="2">
        <f t="shared" si="31"/>
        <v>11</v>
      </c>
      <c r="I178" s="1" t="s">
        <v>1</v>
      </c>
      <c r="J178" s="78" t="str">
        <f t="shared" si="32"/>
        <v>06.2</v>
      </c>
      <c r="K178" s="1" t="s">
        <v>0</v>
      </c>
    </row>
    <row r="179" spans="1:11" x14ac:dyDescent="0.25">
      <c r="D179" s="4"/>
      <c r="F179" s="5"/>
      <c r="H179" s="2"/>
      <c r="J179" s="5"/>
    </row>
    <row r="180" spans="1:11" x14ac:dyDescent="0.25">
      <c r="A180" s="7" t="s">
        <v>5</v>
      </c>
      <c r="B180" s="8">
        <v>65</v>
      </c>
      <c r="C180" s="9" t="s">
        <v>6</v>
      </c>
      <c r="D180" s="9"/>
      <c r="E180" s="9"/>
      <c r="F180" s="15">
        <f>$G$36*B180/100</f>
        <v>2.7877777777777779</v>
      </c>
      <c r="G180" s="9" t="s">
        <v>7</v>
      </c>
      <c r="H180" s="9"/>
      <c r="I180" s="56" t="s">
        <v>17</v>
      </c>
      <c r="J180" s="15">
        <f>F180/1000*60*60</f>
        <v>10.036000000000001</v>
      </c>
      <c r="K180" s="10" t="s">
        <v>22</v>
      </c>
    </row>
    <row r="181" spans="1:11" x14ac:dyDescent="0.25">
      <c r="B181" s="1" t="s">
        <v>8</v>
      </c>
      <c r="D181" s="4">
        <v>100</v>
      </c>
      <c r="E181" s="1" t="s">
        <v>9</v>
      </c>
      <c r="F181" s="5">
        <f>D181/F$180</f>
        <v>35.870864886408924</v>
      </c>
      <c r="G181" s="1" t="s">
        <v>10</v>
      </c>
      <c r="H181" s="2">
        <f>INT(F181/60)</f>
        <v>0</v>
      </c>
      <c r="I181" s="1" t="s">
        <v>1</v>
      </c>
      <c r="J181" s="78" t="str">
        <f>TEXT(MOD(ROUNDDOWN(F181,2),60),"00.0")</f>
        <v>35.9</v>
      </c>
      <c r="K181" s="1" t="s">
        <v>0</v>
      </c>
    </row>
    <row r="182" spans="1:11" x14ac:dyDescent="0.25">
      <c r="B182" s="1" t="s">
        <v>8</v>
      </c>
      <c r="D182" s="4">
        <v>200</v>
      </c>
      <c r="E182" s="1" t="s">
        <v>9</v>
      </c>
      <c r="F182" s="5">
        <f t="shared" ref="F182:F190" si="33">D182/F$180</f>
        <v>71.741729772817848</v>
      </c>
      <c r="G182" s="1" t="s">
        <v>10</v>
      </c>
      <c r="H182" s="2">
        <f t="shared" ref="H182:H190" si="34">INT(F182/60)</f>
        <v>1</v>
      </c>
      <c r="I182" s="1" t="s">
        <v>1</v>
      </c>
      <c r="J182" s="78" t="str">
        <f t="shared" ref="J182:J190" si="35">TEXT(MOD(ROUNDDOWN(F182,2),60),"00.0")</f>
        <v>11.7</v>
      </c>
      <c r="K182" s="1" t="s">
        <v>0</v>
      </c>
    </row>
    <row r="183" spans="1:11" x14ac:dyDescent="0.25">
      <c r="B183" s="1" t="s">
        <v>8</v>
      </c>
      <c r="D183" s="4">
        <v>300</v>
      </c>
      <c r="E183" s="1" t="s">
        <v>9</v>
      </c>
      <c r="F183" s="5">
        <f t="shared" si="33"/>
        <v>107.61259465922677</v>
      </c>
      <c r="G183" s="1" t="s">
        <v>10</v>
      </c>
      <c r="H183" s="2">
        <f t="shared" si="34"/>
        <v>1</v>
      </c>
      <c r="I183" s="1" t="s">
        <v>1</v>
      </c>
      <c r="J183" s="78" t="str">
        <f t="shared" si="35"/>
        <v>47.6</v>
      </c>
      <c r="K183" s="1" t="s">
        <v>0</v>
      </c>
    </row>
    <row r="184" spans="1:11" x14ac:dyDescent="0.25">
      <c r="B184" s="1" t="s">
        <v>8</v>
      </c>
      <c r="D184" s="4">
        <v>400</v>
      </c>
      <c r="E184" s="1" t="s">
        <v>9</v>
      </c>
      <c r="F184" s="5">
        <f t="shared" si="33"/>
        <v>143.4834595456357</v>
      </c>
      <c r="G184" s="1" t="s">
        <v>10</v>
      </c>
      <c r="H184" s="2">
        <f t="shared" si="34"/>
        <v>2</v>
      </c>
      <c r="I184" s="1" t="s">
        <v>1</v>
      </c>
      <c r="J184" s="78" t="str">
        <f t="shared" si="35"/>
        <v>23.5</v>
      </c>
      <c r="K184" s="1" t="s">
        <v>0</v>
      </c>
    </row>
    <row r="185" spans="1:11" x14ac:dyDescent="0.25">
      <c r="B185" s="1" t="s">
        <v>8</v>
      </c>
      <c r="D185" s="4">
        <v>600</v>
      </c>
      <c r="E185" s="1" t="s">
        <v>9</v>
      </c>
      <c r="F185" s="5">
        <f t="shared" si="33"/>
        <v>215.22518931845354</v>
      </c>
      <c r="G185" s="1" t="s">
        <v>10</v>
      </c>
      <c r="H185" s="2">
        <f t="shared" si="34"/>
        <v>3</v>
      </c>
      <c r="I185" s="1" t="s">
        <v>1</v>
      </c>
      <c r="J185" s="78" t="str">
        <f t="shared" si="35"/>
        <v>35.2</v>
      </c>
      <c r="K185" s="1" t="s">
        <v>0</v>
      </c>
    </row>
    <row r="186" spans="1:11" x14ac:dyDescent="0.25">
      <c r="B186" s="1" t="s">
        <v>8</v>
      </c>
      <c r="D186" s="4">
        <v>800</v>
      </c>
      <c r="E186" s="1" t="s">
        <v>9</v>
      </c>
      <c r="F186" s="5">
        <f t="shared" si="33"/>
        <v>286.96691909127139</v>
      </c>
      <c r="G186" s="1" t="s">
        <v>10</v>
      </c>
      <c r="H186" s="2">
        <f t="shared" si="34"/>
        <v>4</v>
      </c>
      <c r="I186" s="1" t="s">
        <v>1</v>
      </c>
      <c r="J186" s="78" t="str">
        <f t="shared" si="35"/>
        <v>47.0</v>
      </c>
      <c r="K186" s="1" t="s">
        <v>0</v>
      </c>
    </row>
    <row r="187" spans="1:11" x14ac:dyDescent="0.25">
      <c r="B187" s="1" t="s">
        <v>8</v>
      </c>
      <c r="D187" s="4">
        <v>1000</v>
      </c>
      <c r="E187" s="1" t="s">
        <v>9</v>
      </c>
      <c r="F187" s="5">
        <f t="shared" si="33"/>
        <v>358.70864886408924</v>
      </c>
      <c r="G187" s="1" t="s">
        <v>10</v>
      </c>
      <c r="H187" s="2">
        <f t="shared" si="34"/>
        <v>5</v>
      </c>
      <c r="I187" s="1" t="s">
        <v>1</v>
      </c>
      <c r="J187" s="78" t="str">
        <f t="shared" si="35"/>
        <v>58.7</v>
      </c>
      <c r="K187" s="1" t="s">
        <v>0</v>
      </c>
    </row>
    <row r="188" spans="1:11" x14ac:dyDescent="0.25">
      <c r="B188" s="1" t="s">
        <v>8</v>
      </c>
      <c r="D188" s="4">
        <v>1200</v>
      </c>
      <c r="E188" s="1" t="s">
        <v>9</v>
      </c>
      <c r="F188" s="5">
        <f t="shared" si="33"/>
        <v>430.45037863690709</v>
      </c>
      <c r="G188" s="1" t="s">
        <v>10</v>
      </c>
      <c r="H188" s="2">
        <f t="shared" si="34"/>
        <v>7</v>
      </c>
      <c r="I188" s="1" t="s">
        <v>1</v>
      </c>
      <c r="J188" s="78" t="str">
        <f t="shared" si="35"/>
        <v>10.5</v>
      </c>
      <c r="K188" s="1" t="s">
        <v>0</v>
      </c>
    </row>
    <row r="189" spans="1:11" x14ac:dyDescent="0.25">
      <c r="B189" s="1" t="s">
        <v>8</v>
      </c>
      <c r="D189" s="4">
        <v>1600</v>
      </c>
      <c r="E189" s="1" t="s">
        <v>9</v>
      </c>
      <c r="F189" s="5">
        <f t="shared" si="33"/>
        <v>573.93383818254279</v>
      </c>
      <c r="G189" s="1" t="s">
        <v>10</v>
      </c>
      <c r="H189" s="2">
        <f t="shared" si="34"/>
        <v>9</v>
      </c>
      <c r="I189" s="1" t="s">
        <v>1</v>
      </c>
      <c r="J189" s="78" t="str">
        <f t="shared" si="35"/>
        <v>33.9</v>
      </c>
      <c r="K189" s="1" t="s">
        <v>0</v>
      </c>
    </row>
    <row r="190" spans="1:11" x14ac:dyDescent="0.25">
      <c r="B190" s="1" t="s">
        <v>8</v>
      </c>
      <c r="D190" s="4">
        <v>2000</v>
      </c>
      <c r="E190" s="1" t="s">
        <v>9</v>
      </c>
      <c r="F190" s="5">
        <f t="shared" si="33"/>
        <v>717.41729772817848</v>
      </c>
      <c r="G190" s="1" t="s">
        <v>10</v>
      </c>
      <c r="H190" s="2">
        <f t="shared" si="34"/>
        <v>11</v>
      </c>
      <c r="I190" s="1" t="s">
        <v>1</v>
      </c>
      <c r="J190" s="78" t="str">
        <f t="shared" si="35"/>
        <v>57.4</v>
      </c>
      <c r="K190" s="1" t="s">
        <v>0</v>
      </c>
    </row>
    <row r="191" spans="1:11" x14ac:dyDescent="0.25">
      <c r="D191" s="4"/>
      <c r="F191" s="5"/>
      <c r="H191" s="2"/>
      <c r="J191" s="5"/>
    </row>
    <row r="192" spans="1:11" x14ac:dyDescent="0.25">
      <c r="A192" s="7" t="s">
        <v>5</v>
      </c>
      <c r="B192" s="8">
        <v>60</v>
      </c>
      <c r="C192" s="9" t="s">
        <v>6</v>
      </c>
      <c r="D192" s="9"/>
      <c r="E192" s="9"/>
      <c r="F192" s="15">
        <f>$G$36*B192/100</f>
        <v>2.5733333333333333</v>
      </c>
      <c r="G192" s="9" t="s">
        <v>7</v>
      </c>
      <c r="H192" s="9"/>
      <c r="I192" s="56" t="s">
        <v>17</v>
      </c>
      <c r="J192" s="15">
        <f>F192/1000*60*60</f>
        <v>9.2640000000000011</v>
      </c>
      <c r="K192" s="10" t="s">
        <v>22</v>
      </c>
    </row>
    <row r="193" spans="1:11" x14ac:dyDescent="0.25">
      <c r="B193" s="1" t="s">
        <v>8</v>
      </c>
      <c r="D193" s="4">
        <v>100</v>
      </c>
      <c r="E193" s="1" t="s">
        <v>9</v>
      </c>
      <c r="F193" s="5">
        <f>D193/F$192</f>
        <v>38.860103626943008</v>
      </c>
      <c r="G193" s="1" t="s">
        <v>10</v>
      </c>
      <c r="H193" s="2">
        <f>INT(F193/60)</f>
        <v>0</v>
      </c>
      <c r="I193" s="1" t="s">
        <v>1</v>
      </c>
      <c r="J193" s="78" t="str">
        <f>TEXT(MOD(ROUNDDOWN(F193,2),60),"00.0")</f>
        <v>38.9</v>
      </c>
      <c r="K193" s="1" t="s">
        <v>0</v>
      </c>
    </row>
    <row r="194" spans="1:11" x14ac:dyDescent="0.25">
      <c r="B194" s="1" t="s">
        <v>8</v>
      </c>
      <c r="D194" s="4">
        <v>200</v>
      </c>
      <c r="E194" s="1" t="s">
        <v>9</v>
      </c>
      <c r="F194" s="5">
        <f t="shared" ref="F194:F202" si="36">D194/F$192</f>
        <v>77.720207253886016</v>
      </c>
      <c r="G194" s="1" t="s">
        <v>10</v>
      </c>
      <c r="H194" s="2">
        <f t="shared" ref="H194:H202" si="37">INT(F194/60)</f>
        <v>1</v>
      </c>
      <c r="I194" s="1" t="s">
        <v>1</v>
      </c>
      <c r="J194" s="78" t="str">
        <f t="shared" ref="J194:J202" si="38">TEXT(MOD(ROUNDDOWN(F194,2),60),"00.0")</f>
        <v>17.7</v>
      </c>
      <c r="K194" s="1" t="s">
        <v>0</v>
      </c>
    </row>
    <row r="195" spans="1:11" x14ac:dyDescent="0.25">
      <c r="B195" s="1" t="s">
        <v>8</v>
      </c>
      <c r="D195" s="4">
        <v>300</v>
      </c>
      <c r="E195" s="1" t="s">
        <v>9</v>
      </c>
      <c r="F195" s="5">
        <f t="shared" si="36"/>
        <v>116.58031088082902</v>
      </c>
      <c r="G195" s="1" t="s">
        <v>10</v>
      </c>
      <c r="H195" s="2">
        <f t="shared" si="37"/>
        <v>1</v>
      </c>
      <c r="I195" s="1" t="s">
        <v>1</v>
      </c>
      <c r="J195" s="78" t="str">
        <f t="shared" si="38"/>
        <v>56.6</v>
      </c>
      <c r="K195" s="1" t="s">
        <v>0</v>
      </c>
    </row>
    <row r="196" spans="1:11" x14ac:dyDescent="0.25">
      <c r="B196" s="1" t="s">
        <v>8</v>
      </c>
      <c r="D196" s="4">
        <v>400</v>
      </c>
      <c r="E196" s="1" t="s">
        <v>9</v>
      </c>
      <c r="F196" s="5">
        <f t="shared" si="36"/>
        <v>155.44041450777203</v>
      </c>
      <c r="G196" s="1" t="s">
        <v>10</v>
      </c>
      <c r="H196" s="2">
        <f t="shared" si="37"/>
        <v>2</v>
      </c>
      <c r="I196" s="1" t="s">
        <v>1</v>
      </c>
      <c r="J196" s="78" t="str">
        <f t="shared" si="38"/>
        <v>35.4</v>
      </c>
      <c r="K196" s="1" t="s">
        <v>0</v>
      </c>
    </row>
    <row r="197" spans="1:11" x14ac:dyDescent="0.25">
      <c r="B197" s="1" t="s">
        <v>8</v>
      </c>
      <c r="D197" s="4">
        <v>600</v>
      </c>
      <c r="E197" s="1" t="s">
        <v>9</v>
      </c>
      <c r="F197" s="5">
        <f t="shared" si="36"/>
        <v>233.16062176165804</v>
      </c>
      <c r="G197" s="1" t="s">
        <v>10</v>
      </c>
      <c r="H197" s="2">
        <f t="shared" si="37"/>
        <v>3</v>
      </c>
      <c r="I197" s="1" t="s">
        <v>1</v>
      </c>
      <c r="J197" s="78" t="str">
        <f t="shared" si="38"/>
        <v>53.2</v>
      </c>
      <c r="K197" s="1" t="s">
        <v>0</v>
      </c>
    </row>
    <row r="198" spans="1:11" x14ac:dyDescent="0.25">
      <c r="B198" s="1" t="s">
        <v>8</v>
      </c>
      <c r="D198" s="4">
        <v>800</v>
      </c>
      <c r="E198" s="1" t="s">
        <v>9</v>
      </c>
      <c r="F198" s="5">
        <f t="shared" si="36"/>
        <v>310.88082901554407</v>
      </c>
      <c r="G198" s="1" t="s">
        <v>10</v>
      </c>
      <c r="H198" s="2">
        <f t="shared" si="37"/>
        <v>5</v>
      </c>
      <c r="I198" s="1" t="s">
        <v>1</v>
      </c>
      <c r="J198" s="78" t="str">
        <f t="shared" si="38"/>
        <v>10.9</v>
      </c>
      <c r="K198" s="1" t="s">
        <v>0</v>
      </c>
    </row>
    <row r="199" spans="1:11" x14ac:dyDescent="0.25">
      <c r="B199" s="1" t="s">
        <v>8</v>
      </c>
      <c r="D199" s="4">
        <v>1000</v>
      </c>
      <c r="E199" s="1" t="s">
        <v>9</v>
      </c>
      <c r="F199" s="5">
        <f t="shared" si="36"/>
        <v>388.60103626943004</v>
      </c>
      <c r="G199" s="1" t="s">
        <v>10</v>
      </c>
      <c r="H199" s="2">
        <f t="shared" si="37"/>
        <v>6</v>
      </c>
      <c r="I199" s="1" t="s">
        <v>1</v>
      </c>
      <c r="J199" s="78" t="str">
        <f t="shared" si="38"/>
        <v>28.6</v>
      </c>
      <c r="K199" s="1" t="s">
        <v>0</v>
      </c>
    </row>
    <row r="200" spans="1:11" x14ac:dyDescent="0.25">
      <c r="B200" s="1" t="s">
        <v>8</v>
      </c>
      <c r="D200" s="4">
        <v>1200</v>
      </c>
      <c r="E200" s="1" t="s">
        <v>9</v>
      </c>
      <c r="F200" s="5">
        <f t="shared" si="36"/>
        <v>466.32124352331607</v>
      </c>
      <c r="G200" s="1" t="s">
        <v>10</v>
      </c>
      <c r="H200" s="2">
        <f t="shared" si="37"/>
        <v>7</v>
      </c>
      <c r="I200" s="1" t="s">
        <v>1</v>
      </c>
      <c r="J200" s="78" t="str">
        <f t="shared" si="38"/>
        <v>46.3</v>
      </c>
      <c r="K200" s="1" t="s">
        <v>0</v>
      </c>
    </row>
    <row r="201" spans="1:11" x14ac:dyDescent="0.25">
      <c r="B201" s="1" t="s">
        <v>8</v>
      </c>
      <c r="D201" s="4">
        <v>1600</v>
      </c>
      <c r="E201" s="1" t="s">
        <v>9</v>
      </c>
      <c r="F201" s="5">
        <f t="shared" si="36"/>
        <v>621.76165803108813</v>
      </c>
      <c r="G201" s="1" t="s">
        <v>10</v>
      </c>
      <c r="H201" s="2">
        <f t="shared" si="37"/>
        <v>10</v>
      </c>
      <c r="I201" s="1" t="s">
        <v>1</v>
      </c>
      <c r="J201" s="78" t="str">
        <f t="shared" si="38"/>
        <v>21.8</v>
      </c>
      <c r="K201" s="1" t="s">
        <v>0</v>
      </c>
    </row>
    <row r="202" spans="1:11" x14ac:dyDescent="0.25">
      <c r="B202" s="1" t="s">
        <v>8</v>
      </c>
      <c r="D202" s="4">
        <v>2000</v>
      </c>
      <c r="E202" s="1" t="s">
        <v>9</v>
      </c>
      <c r="F202" s="5">
        <f t="shared" si="36"/>
        <v>777.20207253886008</v>
      </c>
      <c r="G202" s="1" t="s">
        <v>10</v>
      </c>
      <c r="H202" s="2">
        <f t="shared" si="37"/>
        <v>12</v>
      </c>
      <c r="I202" s="1" t="s">
        <v>1</v>
      </c>
      <c r="J202" s="78" t="str">
        <f t="shared" si="38"/>
        <v>57.2</v>
      </c>
      <c r="K202" s="1" t="s">
        <v>0</v>
      </c>
    </row>
    <row r="204" spans="1:11" x14ac:dyDescent="0.25">
      <c r="A204" s="7" t="s">
        <v>5</v>
      </c>
      <c r="B204" s="8">
        <v>55</v>
      </c>
      <c r="C204" s="9" t="s">
        <v>6</v>
      </c>
      <c r="D204" s="9"/>
      <c r="E204" s="9"/>
      <c r="F204" s="15">
        <f>$G$36*B204/100</f>
        <v>2.358888888888889</v>
      </c>
      <c r="G204" s="9" t="s">
        <v>7</v>
      </c>
      <c r="H204" s="9"/>
      <c r="I204" s="56" t="s">
        <v>17</v>
      </c>
      <c r="J204" s="15">
        <f>F204/1000*60*60</f>
        <v>8.4920000000000009</v>
      </c>
      <c r="K204" s="10" t="s">
        <v>22</v>
      </c>
    </row>
    <row r="205" spans="1:11" x14ac:dyDescent="0.25">
      <c r="B205" s="1" t="s">
        <v>8</v>
      </c>
      <c r="D205" s="4">
        <v>100</v>
      </c>
      <c r="E205" s="1" t="s">
        <v>9</v>
      </c>
      <c r="F205" s="5">
        <f>D205/F$204</f>
        <v>42.39284032030146</v>
      </c>
      <c r="G205" s="1" t="s">
        <v>10</v>
      </c>
      <c r="H205" s="2">
        <f>INT(F205/60)</f>
        <v>0</v>
      </c>
      <c r="I205" s="1" t="s">
        <v>1</v>
      </c>
      <c r="J205" s="78" t="str">
        <f>TEXT(MOD(ROUNDDOWN(F205,2),60),"00.0")</f>
        <v>42.4</v>
      </c>
      <c r="K205" s="1" t="s">
        <v>0</v>
      </c>
    </row>
    <row r="206" spans="1:11" x14ac:dyDescent="0.25">
      <c r="B206" s="1" t="s">
        <v>8</v>
      </c>
      <c r="D206" s="4">
        <v>200</v>
      </c>
      <c r="E206" s="1" t="s">
        <v>9</v>
      </c>
      <c r="F206" s="5">
        <f t="shared" ref="F206:F214" si="39">D206/F$204</f>
        <v>84.785680640602919</v>
      </c>
      <c r="G206" s="1" t="s">
        <v>10</v>
      </c>
      <c r="H206" s="2">
        <f t="shared" ref="H206:H214" si="40">INT(F206/60)</f>
        <v>1</v>
      </c>
      <c r="I206" s="1" t="s">
        <v>1</v>
      </c>
      <c r="J206" s="78" t="str">
        <f t="shared" ref="J206:J214" si="41">TEXT(MOD(ROUNDDOWN(F206,2),60),"00.0")</f>
        <v>24.8</v>
      </c>
      <c r="K206" s="1" t="s">
        <v>0</v>
      </c>
    </row>
    <row r="207" spans="1:11" x14ac:dyDescent="0.25">
      <c r="B207" s="1" t="s">
        <v>8</v>
      </c>
      <c r="D207" s="4">
        <v>300</v>
      </c>
      <c r="E207" s="1" t="s">
        <v>9</v>
      </c>
      <c r="F207" s="5">
        <f t="shared" si="39"/>
        <v>127.17852096090438</v>
      </c>
      <c r="G207" s="1" t="s">
        <v>10</v>
      </c>
      <c r="H207" s="2">
        <f t="shared" si="40"/>
        <v>2</v>
      </c>
      <c r="I207" s="1" t="s">
        <v>1</v>
      </c>
      <c r="J207" s="78" t="str">
        <f t="shared" si="41"/>
        <v>07.2</v>
      </c>
      <c r="K207" s="1" t="s">
        <v>0</v>
      </c>
    </row>
    <row r="208" spans="1:11" x14ac:dyDescent="0.25">
      <c r="B208" s="1" t="s">
        <v>8</v>
      </c>
      <c r="D208" s="4">
        <v>400</v>
      </c>
      <c r="E208" s="1" t="s">
        <v>9</v>
      </c>
      <c r="F208" s="5">
        <f t="shared" si="39"/>
        <v>169.57136128120584</v>
      </c>
      <c r="G208" s="1" t="s">
        <v>10</v>
      </c>
      <c r="H208" s="2">
        <f t="shared" si="40"/>
        <v>2</v>
      </c>
      <c r="I208" s="1" t="s">
        <v>1</v>
      </c>
      <c r="J208" s="78" t="str">
        <f t="shared" si="41"/>
        <v>49.6</v>
      </c>
      <c r="K208" s="1" t="s">
        <v>0</v>
      </c>
    </row>
    <row r="209" spans="1:11" x14ac:dyDescent="0.25">
      <c r="B209" s="1" t="s">
        <v>8</v>
      </c>
      <c r="D209" s="4">
        <v>600</v>
      </c>
      <c r="E209" s="1" t="s">
        <v>9</v>
      </c>
      <c r="F209" s="5">
        <f t="shared" si="39"/>
        <v>254.35704192180876</v>
      </c>
      <c r="G209" s="1" t="s">
        <v>10</v>
      </c>
      <c r="H209" s="2">
        <f t="shared" si="40"/>
        <v>4</v>
      </c>
      <c r="I209" s="1" t="s">
        <v>1</v>
      </c>
      <c r="J209" s="78" t="str">
        <f t="shared" si="41"/>
        <v>14.4</v>
      </c>
      <c r="K209" s="1" t="s">
        <v>0</v>
      </c>
    </row>
    <row r="210" spans="1:11" x14ac:dyDescent="0.25">
      <c r="B210" s="1" t="s">
        <v>8</v>
      </c>
      <c r="D210" s="4">
        <v>800</v>
      </c>
      <c r="E210" s="1" t="s">
        <v>9</v>
      </c>
      <c r="F210" s="5">
        <f t="shared" si="39"/>
        <v>339.14272256241168</v>
      </c>
      <c r="G210" s="1" t="s">
        <v>10</v>
      </c>
      <c r="H210" s="2">
        <f t="shared" si="40"/>
        <v>5</v>
      </c>
      <c r="I210" s="1" t="s">
        <v>1</v>
      </c>
      <c r="J210" s="78" t="str">
        <f t="shared" si="41"/>
        <v>39.1</v>
      </c>
      <c r="K210" s="1" t="s">
        <v>0</v>
      </c>
    </row>
    <row r="211" spans="1:11" x14ac:dyDescent="0.25">
      <c r="B211" s="1" t="s">
        <v>8</v>
      </c>
      <c r="D211" s="4">
        <v>1000</v>
      </c>
      <c r="E211" s="1" t="s">
        <v>9</v>
      </c>
      <c r="F211" s="5">
        <f t="shared" si="39"/>
        <v>423.92840320301457</v>
      </c>
      <c r="G211" s="1" t="s">
        <v>10</v>
      </c>
      <c r="H211" s="2">
        <f t="shared" si="40"/>
        <v>7</v>
      </c>
      <c r="I211" s="1" t="s">
        <v>1</v>
      </c>
      <c r="J211" s="78" t="str">
        <f t="shared" si="41"/>
        <v>03.9</v>
      </c>
      <c r="K211" s="1" t="s">
        <v>0</v>
      </c>
    </row>
    <row r="212" spans="1:11" x14ac:dyDescent="0.25">
      <c r="B212" s="1" t="s">
        <v>8</v>
      </c>
      <c r="D212" s="4">
        <v>1200</v>
      </c>
      <c r="E212" s="1" t="s">
        <v>9</v>
      </c>
      <c r="F212" s="5">
        <f t="shared" si="39"/>
        <v>508.71408384361752</v>
      </c>
      <c r="G212" s="1" t="s">
        <v>10</v>
      </c>
      <c r="H212" s="2">
        <f t="shared" si="40"/>
        <v>8</v>
      </c>
      <c r="I212" s="1" t="s">
        <v>1</v>
      </c>
      <c r="J212" s="78" t="str">
        <f t="shared" si="41"/>
        <v>28.7</v>
      </c>
      <c r="K212" s="1" t="s">
        <v>0</v>
      </c>
    </row>
    <row r="213" spans="1:11" x14ac:dyDescent="0.25">
      <c r="B213" s="1" t="s">
        <v>8</v>
      </c>
      <c r="D213" s="4">
        <v>1600</v>
      </c>
      <c r="E213" s="1" t="s">
        <v>9</v>
      </c>
      <c r="F213" s="5">
        <f t="shared" si="39"/>
        <v>678.28544512482335</v>
      </c>
      <c r="G213" s="1" t="s">
        <v>10</v>
      </c>
      <c r="H213" s="2">
        <f t="shared" si="40"/>
        <v>11</v>
      </c>
      <c r="I213" s="1" t="s">
        <v>1</v>
      </c>
      <c r="J213" s="78" t="str">
        <f t="shared" si="41"/>
        <v>18.3</v>
      </c>
      <c r="K213" s="1" t="s">
        <v>0</v>
      </c>
    </row>
    <row r="214" spans="1:11" x14ac:dyDescent="0.25">
      <c r="B214" s="1" t="s">
        <v>8</v>
      </c>
      <c r="D214" s="4">
        <v>2000</v>
      </c>
      <c r="E214" s="1" t="s">
        <v>9</v>
      </c>
      <c r="F214" s="5">
        <f t="shared" si="39"/>
        <v>847.85680640602914</v>
      </c>
      <c r="G214" s="1" t="s">
        <v>10</v>
      </c>
      <c r="H214" s="2">
        <f t="shared" si="40"/>
        <v>14</v>
      </c>
      <c r="I214" s="1" t="s">
        <v>1</v>
      </c>
      <c r="J214" s="78" t="str">
        <f t="shared" si="41"/>
        <v>07.9</v>
      </c>
      <c r="K214" s="1" t="s">
        <v>0</v>
      </c>
    </row>
    <row r="216" spans="1:11" x14ac:dyDescent="0.25">
      <c r="A216" s="7" t="s">
        <v>5</v>
      </c>
      <c r="B216" s="8">
        <v>50</v>
      </c>
      <c r="C216" s="9" t="s">
        <v>6</v>
      </c>
      <c r="D216" s="9"/>
      <c r="E216" s="9"/>
      <c r="F216" s="15">
        <f>$G$36*B216/100</f>
        <v>2.1444444444444444</v>
      </c>
      <c r="G216" s="9" t="s">
        <v>7</v>
      </c>
      <c r="H216" s="9"/>
      <c r="I216" s="56" t="s">
        <v>17</v>
      </c>
      <c r="J216" s="15">
        <f>F216/1000*60*60</f>
        <v>7.7200000000000006</v>
      </c>
      <c r="K216" s="10" t="s">
        <v>22</v>
      </c>
    </row>
    <row r="217" spans="1:11" x14ac:dyDescent="0.25">
      <c r="B217" s="1" t="s">
        <v>8</v>
      </c>
      <c r="D217" s="4">
        <v>100</v>
      </c>
      <c r="E217" s="1" t="s">
        <v>9</v>
      </c>
      <c r="F217" s="5">
        <f>D217/F$216</f>
        <v>46.632124352331608</v>
      </c>
      <c r="G217" s="1" t="s">
        <v>10</v>
      </c>
      <c r="H217" s="2">
        <f>INT(F217/60)</f>
        <v>0</v>
      </c>
      <c r="I217" s="1" t="s">
        <v>1</v>
      </c>
      <c r="J217" s="78" t="str">
        <f>TEXT(MOD(ROUNDDOWN(F217,2),60),"00.0")</f>
        <v>46.6</v>
      </c>
      <c r="K217" s="1" t="s">
        <v>0</v>
      </c>
    </row>
    <row r="218" spans="1:11" x14ac:dyDescent="0.25">
      <c r="B218" s="1" t="s">
        <v>8</v>
      </c>
      <c r="D218" s="4">
        <v>200</v>
      </c>
      <c r="E218" s="1" t="s">
        <v>9</v>
      </c>
      <c r="F218" s="5">
        <f t="shared" ref="F218:F226" si="42">D218/F$216</f>
        <v>93.264248704663217</v>
      </c>
      <c r="G218" s="1" t="s">
        <v>10</v>
      </c>
      <c r="H218" s="2">
        <f t="shared" ref="H218:H226" si="43">INT(F218/60)</f>
        <v>1</v>
      </c>
      <c r="I218" s="1" t="s">
        <v>1</v>
      </c>
      <c r="J218" s="78" t="str">
        <f t="shared" ref="J218:J226" si="44">TEXT(MOD(ROUNDDOWN(F218,2),60),"00.0")</f>
        <v>33.3</v>
      </c>
      <c r="K218" s="1" t="s">
        <v>0</v>
      </c>
    </row>
    <row r="219" spans="1:11" x14ac:dyDescent="0.25">
      <c r="B219" s="1" t="s">
        <v>8</v>
      </c>
      <c r="D219" s="4">
        <v>300</v>
      </c>
      <c r="E219" s="1" t="s">
        <v>9</v>
      </c>
      <c r="F219" s="5">
        <f t="shared" si="42"/>
        <v>139.89637305699483</v>
      </c>
      <c r="G219" s="1" t="s">
        <v>10</v>
      </c>
      <c r="H219" s="2">
        <f t="shared" si="43"/>
        <v>2</v>
      </c>
      <c r="I219" s="1" t="s">
        <v>1</v>
      </c>
      <c r="J219" s="78" t="str">
        <f t="shared" si="44"/>
        <v>19.9</v>
      </c>
      <c r="K219" s="1" t="s">
        <v>0</v>
      </c>
    </row>
    <row r="220" spans="1:11" x14ac:dyDescent="0.25">
      <c r="B220" s="1" t="s">
        <v>8</v>
      </c>
      <c r="D220" s="4">
        <v>400</v>
      </c>
      <c r="E220" s="1" t="s">
        <v>9</v>
      </c>
      <c r="F220" s="5">
        <f t="shared" si="42"/>
        <v>186.52849740932643</v>
      </c>
      <c r="G220" s="1" t="s">
        <v>10</v>
      </c>
      <c r="H220" s="2">
        <f t="shared" si="43"/>
        <v>3</v>
      </c>
      <c r="I220" s="1" t="s">
        <v>1</v>
      </c>
      <c r="J220" s="78" t="str">
        <f t="shared" si="44"/>
        <v>06.5</v>
      </c>
      <c r="K220" s="1" t="s">
        <v>0</v>
      </c>
    </row>
    <row r="221" spans="1:11" x14ac:dyDescent="0.25">
      <c r="B221" s="1" t="s">
        <v>8</v>
      </c>
      <c r="D221" s="4">
        <v>600</v>
      </c>
      <c r="E221" s="1" t="s">
        <v>9</v>
      </c>
      <c r="F221" s="5">
        <f t="shared" si="42"/>
        <v>279.79274611398966</v>
      </c>
      <c r="G221" s="1" t="s">
        <v>10</v>
      </c>
      <c r="H221" s="2">
        <f t="shared" si="43"/>
        <v>4</v>
      </c>
      <c r="I221" s="1" t="s">
        <v>1</v>
      </c>
      <c r="J221" s="78" t="str">
        <f t="shared" si="44"/>
        <v>39.8</v>
      </c>
      <c r="K221" s="1" t="s">
        <v>0</v>
      </c>
    </row>
    <row r="222" spans="1:11" x14ac:dyDescent="0.25">
      <c r="B222" s="1" t="s">
        <v>8</v>
      </c>
      <c r="D222" s="4">
        <v>800</v>
      </c>
      <c r="E222" s="1" t="s">
        <v>9</v>
      </c>
      <c r="F222" s="5">
        <f t="shared" si="42"/>
        <v>373.05699481865287</v>
      </c>
      <c r="G222" s="1" t="s">
        <v>10</v>
      </c>
      <c r="H222" s="2">
        <f t="shared" si="43"/>
        <v>6</v>
      </c>
      <c r="I222" s="1" t="s">
        <v>1</v>
      </c>
      <c r="J222" s="78" t="str">
        <f t="shared" si="44"/>
        <v>13.1</v>
      </c>
      <c r="K222" s="1" t="s">
        <v>0</v>
      </c>
    </row>
    <row r="223" spans="1:11" x14ac:dyDescent="0.25">
      <c r="B223" s="1" t="s">
        <v>8</v>
      </c>
      <c r="D223" s="4">
        <v>1000</v>
      </c>
      <c r="E223" s="1" t="s">
        <v>9</v>
      </c>
      <c r="F223" s="5">
        <f t="shared" si="42"/>
        <v>466.32124352331607</v>
      </c>
      <c r="G223" s="1" t="s">
        <v>10</v>
      </c>
      <c r="H223" s="2">
        <f t="shared" si="43"/>
        <v>7</v>
      </c>
      <c r="I223" s="1" t="s">
        <v>1</v>
      </c>
      <c r="J223" s="78" t="str">
        <f t="shared" si="44"/>
        <v>46.3</v>
      </c>
      <c r="K223" s="1" t="s">
        <v>0</v>
      </c>
    </row>
    <row r="224" spans="1:11" x14ac:dyDescent="0.25">
      <c r="B224" s="1" t="s">
        <v>8</v>
      </c>
      <c r="D224" s="4">
        <v>1200</v>
      </c>
      <c r="E224" s="1" t="s">
        <v>9</v>
      </c>
      <c r="F224" s="5">
        <f t="shared" si="42"/>
        <v>559.58549222797933</v>
      </c>
      <c r="G224" s="1" t="s">
        <v>10</v>
      </c>
      <c r="H224" s="2">
        <f t="shared" si="43"/>
        <v>9</v>
      </c>
      <c r="I224" s="1" t="s">
        <v>1</v>
      </c>
      <c r="J224" s="78" t="str">
        <f t="shared" si="44"/>
        <v>19.6</v>
      </c>
      <c r="K224" s="1" t="s">
        <v>0</v>
      </c>
    </row>
    <row r="225" spans="1:11" x14ac:dyDescent="0.25">
      <c r="B225" s="1" t="s">
        <v>8</v>
      </c>
      <c r="D225" s="4">
        <v>1600</v>
      </c>
      <c r="E225" s="1" t="s">
        <v>9</v>
      </c>
      <c r="F225" s="5">
        <f t="shared" si="42"/>
        <v>746.11398963730574</v>
      </c>
      <c r="G225" s="1" t="s">
        <v>10</v>
      </c>
      <c r="H225" s="2">
        <f t="shared" si="43"/>
        <v>12</v>
      </c>
      <c r="I225" s="1" t="s">
        <v>1</v>
      </c>
      <c r="J225" s="78" t="str">
        <f t="shared" si="44"/>
        <v>26.1</v>
      </c>
      <c r="K225" s="1" t="s">
        <v>0</v>
      </c>
    </row>
    <row r="226" spans="1:11" x14ac:dyDescent="0.25">
      <c r="B226" s="1" t="s">
        <v>8</v>
      </c>
      <c r="D226" s="4">
        <v>2000</v>
      </c>
      <c r="E226" s="1" t="s">
        <v>9</v>
      </c>
      <c r="F226" s="5">
        <f t="shared" si="42"/>
        <v>932.64248704663214</v>
      </c>
      <c r="G226" s="1" t="s">
        <v>10</v>
      </c>
      <c r="H226" s="2">
        <f t="shared" si="43"/>
        <v>15</v>
      </c>
      <c r="I226" s="1" t="s">
        <v>1</v>
      </c>
      <c r="J226" s="78" t="str">
        <f t="shared" si="44"/>
        <v>32.6</v>
      </c>
      <c r="K226" s="1" t="s">
        <v>0</v>
      </c>
    </row>
    <row r="228" spans="1:11" ht="26.25" x14ac:dyDescent="0.25">
      <c r="A228" s="26" t="s">
        <v>44</v>
      </c>
    </row>
    <row r="229" spans="1:11" x14ac:dyDescent="0.25">
      <c r="A229" s="24" t="s">
        <v>30</v>
      </c>
    </row>
    <row r="230" spans="1:11" x14ac:dyDescent="0.25">
      <c r="A230" s="23" t="s">
        <v>31</v>
      </c>
    </row>
    <row r="231" spans="1:11" x14ac:dyDescent="0.25">
      <c r="A231" s="23" t="s">
        <v>32</v>
      </c>
    </row>
    <row r="232" spans="1:11" x14ac:dyDescent="0.25">
      <c r="A232" s="24" t="s">
        <v>33</v>
      </c>
    </row>
    <row r="233" spans="1:11" x14ac:dyDescent="0.25">
      <c r="A233" s="23" t="s">
        <v>34</v>
      </c>
    </row>
    <row r="234" spans="1:11" x14ac:dyDescent="0.25">
      <c r="A234" s="23" t="s">
        <v>35</v>
      </c>
    </row>
    <row r="235" spans="1:11" x14ac:dyDescent="0.25">
      <c r="A235" s="23" t="s">
        <v>36</v>
      </c>
    </row>
    <row r="236" spans="1:11" x14ac:dyDescent="0.25">
      <c r="A236" s="24" t="s">
        <v>37</v>
      </c>
    </row>
    <row r="237" spans="1:11" x14ac:dyDescent="0.25">
      <c r="A237" s="23" t="s">
        <v>38</v>
      </c>
    </row>
    <row r="238" spans="1:11" x14ac:dyDescent="0.25">
      <c r="A238" s="23" t="s">
        <v>39</v>
      </c>
    </row>
    <row r="239" spans="1:11" x14ac:dyDescent="0.25">
      <c r="A239" s="23" t="s">
        <v>40</v>
      </c>
    </row>
    <row r="240" spans="1:11" x14ac:dyDescent="0.25">
      <c r="A240" s="24" t="s">
        <v>41</v>
      </c>
    </row>
    <row r="241" spans="1:1" x14ac:dyDescent="0.25">
      <c r="A241" s="23" t="s">
        <v>42</v>
      </c>
    </row>
    <row r="242" spans="1:1" x14ac:dyDescent="0.25">
      <c r="A242" s="23" t="s">
        <v>43</v>
      </c>
    </row>
    <row r="243" spans="1:1" x14ac:dyDescent="0.25">
      <c r="A243" s="24" t="s">
        <v>63</v>
      </c>
    </row>
    <row r="244" spans="1:1" x14ac:dyDescent="0.25">
      <c r="A244" s="23" t="s">
        <v>64</v>
      </c>
    </row>
    <row r="245" spans="1:1" x14ac:dyDescent="0.25">
      <c r="A245" s="23" t="s">
        <v>65</v>
      </c>
    </row>
  </sheetData>
  <mergeCells count="4">
    <mergeCell ref="H23:I23"/>
    <mergeCell ref="H27:I27"/>
    <mergeCell ref="H29:I29"/>
    <mergeCell ref="A1:K1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Footer>&amp;L&amp;"Calibri,標準"Version 6.0&amp;R&amp;"Calibri,標準"Page &amp;P</oddFooter>
  </headerFooter>
  <rowBreaks count="4" manualBreakCount="4">
    <brk id="83" max="16383" man="1"/>
    <brk id="119" max="16383" man="1"/>
    <brk id="155" max="16383" man="1"/>
    <brk id="1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0"/>
  <sheetViews>
    <sheetView workbookViewId="0">
      <selection activeCell="L3" sqref="L3"/>
    </sheetView>
  </sheetViews>
  <sheetFormatPr defaultRowHeight="21" x14ac:dyDescent="0.25"/>
  <cols>
    <col min="1" max="1" width="9" style="1"/>
    <col min="2" max="2" width="10.875" style="1" bestFit="1" customWidth="1"/>
    <col min="3" max="3" width="5.25" style="1" customWidth="1"/>
    <col min="4" max="4" width="9" style="1" customWidth="1"/>
    <col min="5" max="5" width="11" style="1" customWidth="1"/>
    <col min="6" max="6" width="9" style="1"/>
    <col min="7" max="7" width="8.5" style="1" customWidth="1"/>
    <col min="8" max="8" width="5.375" style="1" customWidth="1"/>
    <col min="9" max="9" width="5.5" style="1" customWidth="1"/>
    <col min="10" max="10" width="9" style="1" customWidth="1"/>
    <col min="11" max="11" width="7.75" style="1" customWidth="1"/>
  </cols>
  <sheetData>
    <row r="1" spans="1:11" ht="51.75" thickBot="1" x14ac:dyDescent="0.3">
      <c r="A1" s="98" t="s">
        <v>214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s="41" customFormat="1" ht="8.25" x14ac:dyDescent="0.25">
      <c r="A2" s="44"/>
      <c r="B2" s="44"/>
      <c r="C2" s="44"/>
      <c r="D2" s="44"/>
      <c r="E2" s="46"/>
      <c r="F2" s="44"/>
      <c r="G2" s="44"/>
      <c r="H2" s="44"/>
      <c r="I2" s="44"/>
      <c r="J2" s="44"/>
      <c r="K2" s="44"/>
    </row>
    <row r="3" spans="1:11" x14ac:dyDescent="0.25">
      <c r="A3" s="11"/>
      <c r="B3" s="9"/>
      <c r="C3" s="9"/>
      <c r="D3" s="9"/>
      <c r="E3" s="9"/>
      <c r="F3" s="16" t="s">
        <v>16</v>
      </c>
      <c r="G3" s="12" t="s">
        <v>11</v>
      </c>
      <c r="H3" s="9"/>
      <c r="I3" s="9"/>
      <c r="J3" s="9"/>
      <c r="K3" s="10"/>
    </row>
    <row r="4" spans="1:11" s="41" customFormat="1" ht="8.25" x14ac:dyDescent="0.25">
      <c r="A4" s="47"/>
      <c r="B4" s="47"/>
      <c r="C4" s="47"/>
      <c r="D4" s="47"/>
      <c r="E4" s="47"/>
      <c r="F4" s="51"/>
      <c r="G4" s="49"/>
      <c r="H4" s="47"/>
      <c r="I4" s="47"/>
      <c r="J4" s="47"/>
      <c r="K4" s="47"/>
    </row>
    <row r="5" spans="1:11" ht="23.25" x14ac:dyDescent="0.25">
      <c r="F5" s="3" t="s">
        <v>12</v>
      </c>
      <c r="G5" s="65">
        <f>Percent_vVO2max!G34</f>
        <v>1544</v>
      </c>
      <c r="H5" s="1" t="s">
        <v>13</v>
      </c>
      <c r="I5" s="14"/>
    </row>
    <row r="6" spans="1:11" s="41" customFormat="1" ht="8.25" x14ac:dyDescent="0.25">
      <c r="A6" s="44"/>
      <c r="B6" s="44"/>
      <c r="C6" s="44"/>
      <c r="D6" s="44"/>
      <c r="E6" s="44"/>
      <c r="F6" s="42"/>
      <c r="G6" s="54"/>
      <c r="H6" s="44"/>
      <c r="I6" s="43"/>
      <c r="J6" s="44"/>
      <c r="K6" s="44"/>
    </row>
    <row r="7" spans="1:11" x14ac:dyDescent="0.25">
      <c r="F7" s="3" t="s">
        <v>69</v>
      </c>
      <c r="G7" s="13">
        <f>G5/360</f>
        <v>4.2888888888888888</v>
      </c>
      <c r="H7" s="1" t="s">
        <v>14</v>
      </c>
      <c r="I7" s="6" t="s">
        <v>17</v>
      </c>
      <c r="J7" s="13">
        <f>G7/1000*60*60</f>
        <v>15.440000000000001</v>
      </c>
      <c r="K7" s="1" t="s">
        <v>22</v>
      </c>
    </row>
    <row r="8" spans="1:11" s="41" customFormat="1" ht="8.25" x14ac:dyDescent="0.25">
      <c r="A8" s="44"/>
      <c r="B8" s="44"/>
      <c r="C8" s="44"/>
      <c r="D8" s="44"/>
      <c r="E8" s="44"/>
      <c r="F8" s="42"/>
      <c r="G8" s="55"/>
      <c r="H8" s="44"/>
      <c r="I8" s="44"/>
      <c r="J8" s="44"/>
      <c r="K8" s="44"/>
    </row>
    <row r="9" spans="1:11" x14ac:dyDescent="0.25">
      <c r="A9" s="11"/>
      <c r="B9" s="9"/>
      <c r="C9" s="9"/>
      <c r="D9" s="9"/>
      <c r="E9" s="9"/>
      <c r="F9" s="64" t="s">
        <v>74</v>
      </c>
      <c r="G9" s="15" t="s">
        <v>18</v>
      </c>
      <c r="H9" s="9"/>
      <c r="I9" s="9"/>
      <c r="J9" s="9"/>
      <c r="K9" s="10"/>
    </row>
    <row r="10" spans="1:11" s="41" customFormat="1" ht="8.25" x14ac:dyDescent="0.25">
      <c r="A10" s="47"/>
      <c r="B10" s="47"/>
      <c r="C10" s="47"/>
      <c r="D10" s="47"/>
      <c r="E10" s="47"/>
      <c r="F10" s="52"/>
      <c r="G10" s="53"/>
      <c r="H10" s="47"/>
      <c r="I10" s="47"/>
      <c r="J10" s="47"/>
      <c r="K10" s="47"/>
    </row>
    <row r="11" spans="1:11" ht="23.25" x14ac:dyDescent="0.25">
      <c r="F11" s="3" t="s">
        <v>20</v>
      </c>
      <c r="G11" s="65">
        <f>Percent_vVO2max!G41</f>
        <v>12</v>
      </c>
      <c r="H11" s="1" t="s">
        <v>1</v>
      </c>
      <c r="I11" s="65">
        <f>Percent_vVO2max!I41</f>
        <v>45</v>
      </c>
      <c r="J11" s="1" t="s">
        <v>0</v>
      </c>
      <c r="K11"/>
    </row>
    <row r="12" spans="1:11" s="41" customFormat="1" ht="8.25" x14ac:dyDescent="0.25">
      <c r="A12" s="44"/>
      <c r="B12" s="44"/>
      <c r="C12" s="44"/>
      <c r="D12" s="44"/>
      <c r="E12" s="44"/>
      <c r="F12" s="42"/>
      <c r="G12" s="54"/>
      <c r="H12" s="44"/>
      <c r="I12" s="54"/>
      <c r="J12" s="44"/>
    </row>
    <row r="13" spans="1:11" x14ac:dyDescent="0.25">
      <c r="F13" s="3" t="s">
        <v>48</v>
      </c>
      <c r="G13" s="34">
        <f>3000/((60*G11)+I11)</f>
        <v>3.9215686274509802</v>
      </c>
      <c r="H13" s="1" t="s">
        <v>14</v>
      </c>
      <c r="I13" s="6" t="s">
        <v>17</v>
      </c>
      <c r="J13" s="13">
        <f>G13/1000*60*60</f>
        <v>14.117647058823529</v>
      </c>
      <c r="K13" s="1" t="s">
        <v>22</v>
      </c>
    </row>
    <row r="14" spans="1:11" x14ac:dyDescent="0.25">
      <c r="F14" s="3" t="s">
        <v>68</v>
      </c>
      <c r="G14" s="13">
        <f>(J13-0.646-(0.416*J7))/0.626</f>
        <v>11.259755685021609</v>
      </c>
      <c r="H14" s="1" t="s">
        <v>22</v>
      </c>
    </row>
    <row r="15" spans="1:11" s="41" customFormat="1" ht="8.25" x14ac:dyDescent="0.25">
      <c r="A15" s="44"/>
      <c r="B15" s="44"/>
      <c r="C15" s="44"/>
      <c r="D15" s="44"/>
      <c r="E15" s="44"/>
      <c r="F15" s="42"/>
      <c r="G15" s="55"/>
      <c r="H15" s="44"/>
      <c r="I15" s="44"/>
      <c r="J15" s="44"/>
      <c r="K15" s="44"/>
    </row>
    <row r="16" spans="1:11" x14ac:dyDescent="0.25">
      <c r="F16" s="3" t="s">
        <v>29</v>
      </c>
      <c r="G16" s="33">
        <f>G14/J7*100</f>
        <v>72.925878789000052</v>
      </c>
      <c r="H16" s="1" t="s">
        <v>21</v>
      </c>
    </row>
    <row r="17" spans="1:11" x14ac:dyDescent="0.25">
      <c r="F17" s="3"/>
      <c r="G17" s="33"/>
    </row>
    <row r="18" spans="1:11" s="41" customFormat="1" ht="8.25" x14ac:dyDescent="0.25">
      <c r="A18" s="44"/>
      <c r="B18" s="44"/>
      <c r="C18" s="44"/>
      <c r="D18" s="44"/>
      <c r="E18" s="44"/>
      <c r="F18" s="42"/>
      <c r="G18" s="55"/>
      <c r="H18" s="44"/>
      <c r="I18" s="44"/>
      <c r="J18" s="44"/>
      <c r="K18" s="44"/>
    </row>
    <row r="19" spans="1:11" x14ac:dyDescent="0.25">
      <c r="A19" s="7" t="s">
        <v>5</v>
      </c>
      <c r="B19" s="8">
        <v>120</v>
      </c>
      <c r="C19" s="9" t="s">
        <v>6</v>
      </c>
      <c r="D19" s="9"/>
      <c r="E19" s="9"/>
      <c r="F19" s="15">
        <f>$G$7*B19/100</f>
        <v>5.1466666666666665</v>
      </c>
      <c r="G19" s="9" t="s">
        <v>7</v>
      </c>
      <c r="H19" s="9"/>
      <c r="I19" s="56" t="s">
        <v>17</v>
      </c>
      <c r="J19" s="15">
        <f>F19/1000*60*60</f>
        <v>18.528000000000002</v>
      </c>
      <c r="K19" s="10" t="s">
        <v>70</v>
      </c>
    </row>
    <row r="20" spans="1:11" x14ac:dyDescent="0.25">
      <c r="B20" s="1" t="s">
        <v>8</v>
      </c>
      <c r="D20" s="4">
        <v>100</v>
      </c>
      <c r="E20" s="1" t="s">
        <v>9</v>
      </c>
      <c r="F20" s="5">
        <f>D20/F$19</f>
        <v>19.430051813471504</v>
      </c>
      <c r="G20" s="1" t="s">
        <v>10</v>
      </c>
      <c r="H20" s="2">
        <f>INT(F20/60)</f>
        <v>0</v>
      </c>
      <c r="I20" s="1" t="s">
        <v>1</v>
      </c>
      <c r="J20" s="78" t="str">
        <f>TEXT(MOD(ROUNDDOWN(F20,2),60),"00.0")</f>
        <v>19.4</v>
      </c>
      <c r="K20" s="1" t="s">
        <v>0</v>
      </c>
    </row>
    <row r="21" spans="1:11" hidden="1" x14ac:dyDescent="0.25">
      <c r="B21" s="1" t="s">
        <v>8</v>
      </c>
      <c r="D21" s="4">
        <v>200</v>
      </c>
      <c r="E21" s="1" t="s">
        <v>9</v>
      </c>
      <c r="F21" s="5">
        <f t="shared" ref="F21:F29" si="0">D21/F$19</f>
        <v>38.860103626943008</v>
      </c>
      <c r="G21" s="1" t="s">
        <v>10</v>
      </c>
      <c r="H21" s="2">
        <f t="shared" ref="H21:H29" si="1">INT(F21/60)</f>
        <v>0</v>
      </c>
      <c r="I21" s="1" t="s">
        <v>1</v>
      </c>
      <c r="J21" s="78" t="str">
        <f t="shared" ref="J21:J29" si="2">TEXT(MOD(ROUNDDOWN(F21,2),60),"00.0")</f>
        <v>38.9</v>
      </c>
      <c r="K21" s="1" t="s">
        <v>0</v>
      </c>
    </row>
    <row r="22" spans="1:11" hidden="1" x14ac:dyDescent="0.25">
      <c r="B22" s="1" t="s">
        <v>8</v>
      </c>
      <c r="D22" s="4">
        <v>300</v>
      </c>
      <c r="E22" s="1" t="s">
        <v>9</v>
      </c>
      <c r="F22" s="5">
        <f t="shared" si="0"/>
        <v>58.290155440414509</v>
      </c>
      <c r="G22" s="1" t="s">
        <v>10</v>
      </c>
      <c r="H22" s="2">
        <f t="shared" si="1"/>
        <v>0</v>
      </c>
      <c r="I22" s="1" t="s">
        <v>1</v>
      </c>
      <c r="J22" s="78" t="str">
        <f t="shared" si="2"/>
        <v>58.3</v>
      </c>
      <c r="K22" s="1" t="s">
        <v>0</v>
      </c>
    </row>
    <row r="23" spans="1:11" x14ac:dyDescent="0.25">
      <c r="B23" s="1" t="s">
        <v>8</v>
      </c>
      <c r="D23" s="4">
        <v>400</v>
      </c>
      <c r="E23" s="1" t="s">
        <v>9</v>
      </c>
      <c r="F23" s="5">
        <f>D23/F$19</f>
        <v>77.720207253886016</v>
      </c>
      <c r="G23" s="1" t="s">
        <v>10</v>
      </c>
      <c r="H23" s="2">
        <f t="shared" si="1"/>
        <v>1</v>
      </c>
      <c r="I23" s="1" t="s">
        <v>1</v>
      </c>
      <c r="J23" s="78" t="str">
        <f t="shared" si="2"/>
        <v>17.7</v>
      </c>
      <c r="K23" s="1" t="s">
        <v>0</v>
      </c>
    </row>
    <row r="24" spans="1:11" hidden="1" x14ac:dyDescent="0.25">
      <c r="B24" s="1" t="s">
        <v>8</v>
      </c>
      <c r="D24" s="4">
        <v>600</v>
      </c>
      <c r="E24" s="1" t="s">
        <v>9</v>
      </c>
      <c r="F24" s="5">
        <f t="shared" si="0"/>
        <v>116.58031088082902</v>
      </c>
      <c r="G24" s="1" t="s">
        <v>10</v>
      </c>
      <c r="H24" s="2">
        <f t="shared" si="1"/>
        <v>1</v>
      </c>
      <c r="I24" s="1" t="s">
        <v>1</v>
      </c>
      <c r="J24" s="78" t="str">
        <f t="shared" si="2"/>
        <v>56.6</v>
      </c>
      <c r="K24" s="1" t="s">
        <v>0</v>
      </c>
    </row>
    <row r="25" spans="1:11" hidden="1" x14ac:dyDescent="0.25">
      <c r="B25" s="1" t="s">
        <v>8</v>
      </c>
      <c r="D25" s="4">
        <v>800</v>
      </c>
      <c r="E25" s="1" t="s">
        <v>9</v>
      </c>
      <c r="F25" s="5">
        <f t="shared" si="0"/>
        <v>155.44041450777203</v>
      </c>
      <c r="G25" s="1" t="s">
        <v>10</v>
      </c>
      <c r="H25" s="2">
        <f t="shared" si="1"/>
        <v>2</v>
      </c>
      <c r="I25" s="1" t="s">
        <v>1</v>
      </c>
      <c r="J25" s="78" t="str">
        <f t="shared" si="2"/>
        <v>35.4</v>
      </c>
      <c r="K25" s="1" t="s">
        <v>0</v>
      </c>
    </row>
    <row r="26" spans="1:11" x14ac:dyDescent="0.25">
      <c r="B26" s="1" t="s">
        <v>8</v>
      </c>
      <c r="D26" s="4">
        <v>1000</v>
      </c>
      <c r="E26" s="1" t="s">
        <v>9</v>
      </c>
      <c r="F26" s="5">
        <f>D26/F$19</f>
        <v>194.30051813471502</v>
      </c>
      <c r="G26" s="1" t="s">
        <v>10</v>
      </c>
      <c r="H26" s="2">
        <f t="shared" si="1"/>
        <v>3</v>
      </c>
      <c r="I26" s="1" t="s">
        <v>1</v>
      </c>
      <c r="J26" s="78" t="str">
        <f t="shared" si="2"/>
        <v>14.3</v>
      </c>
      <c r="K26" s="1" t="s">
        <v>0</v>
      </c>
    </row>
    <row r="27" spans="1:11" hidden="1" x14ac:dyDescent="0.25">
      <c r="B27" s="1" t="s">
        <v>8</v>
      </c>
      <c r="D27" s="4">
        <v>1200</v>
      </c>
      <c r="E27" s="1" t="s">
        <v>9</v>
      </c>
      <c r="F27" s="5">
        <f t="shared" si="0"/>
        <v>233.16062176165804</v>
      </c>
      <c r="G27" s="1" t="s">
        <v>10</v>
      </c>
      <c r="H27" s="2">
        <f t="shared" si="1"/>
        <v>3</v>
      </c>
      <c r="I27" s="1" t="s">
        <v>1</v>
      </c>
      <c r="J27" s="78" t="str">
        <f t="shared" si="2"/>
        <v>53.2</v>
      </c>
      <c r="K27" s="1" t="s">
        <v>0</v>
      </c>
    </row>
    <row r="28" spans="1:11" hidden="1" x14ac:dyDescent="0.25">
      <c r="B28" s="1" t="s">
        <v>8</v>
      </c>
      <c r="D28" s="4">
        <v>1600</v>
      </c>
      <c r="E28" s="1" t="s">
        <v>9</v>
      </c>
      <c r="F28" s="5">
        <f t="shared" si="0"/>
        <v>310.88082901554407</v>
      </c>
      <c r="G28" s="1" t="s">
        <v>10</v>
      </c>
      <c r="H28" s="2">
        <f t="shared" si="1"/>
        <v>5</v>
      </c>
      <c r="I28" s="1" t="s">
        <v>1</v>
      </c>
      <c r="J28" s="78" t="str">
        <f t="shared" si="2"/>
        <v>10.9</v>
      </c>
      <c r="K28" s="1" t="s">
        <v>0</v>
      </c>
    </row>
    <row r="29" spans="1:11" hidden="1" x14ac:dyDescent="0.25">
      <c r="B29" s="1" t="s">
        <v>8</v>
      </c>
      <c r="D29" s="4">
        <v>2000</v>
      </c>
      <c r="E29" s="1" t="s">
        <v>9</v>
      </c>
      <c r="F29" s="5">
        <f t="shared" si="0"/>
        <v>388.60103626943004</v>
      </c>
      <c r="G29" s="1" t="s">
        <v>10</v>
      </c>
      <c r="H29" s="2">
        <f t="shared" si="1"/>
        <v>6</v>
      </c>
      <c r="I29" s="1" t="s">
        <v>1</v>
      </c>
      <c r="J29" s="78" t="str">
        <f t="shared" si="2"/>
        <v>28.6</v>
      </c>
      <c r="K29" s="1" t="s">
        <v>0</v>
      </c>
    </row>
    <row r="30" spans="1:11" ht="8.25" customHeight="1" x14ac:dyDescent="0.25">
      <c r="D30" s="4"/>
      <c r="F30" s="5"/>
      <c r="H30" s="2"/>
      <c r="J30" s="78"/>
    </row>
    <row r="31" spans="1:11" x14ac:dyDescent="0.25">
      <c r="A31" s="7" t="s">
        <v>5</v>
      </c>
      <c r="B31" s="8">
        <v>115</v>
      </c>
      <c r="C31" s="9" t="s">
        <v>6</v>
      </c>
      <c r="D31" s="9"/>
      <c r="E31" s="9"/>
      <c r="F31" s="15">
        <f>$G$7*B31/100</f>
        <v>4.9322222222222223</v>
      </c>
      <c r="G31" s="9" t="s">
        <v>7</v>
      </c>
      <c r="H31" s="9"/>
      <c r="I31" s="56" t="s">
        <v>17</v>
      </c>
      <c r="J31" s="15">
        <f>F31/1000*60*60</f>
        <v>17.756</v>
      </c>
      <c r="K31" s="10" t="s">
        <v>22</v>
      </c>
    </row>
    <row r="32" spans="1:11" x14ac:dyDescent="0.25">
      <c r="B32" s="1" t="s">
        <v>8</v>
      </c>
      <c r="D32" s="4">
        <v>100</v>
      </c>
      <c r="E32" s="1" t="s">
        <v>9</v>
      </c>
      <c r="F32" s="5">
        <f>D32/F$31</f>
        <v>20.274836674926785</v>
      </c>
      <c r="G32" s="1" t="s">
        <v>10</v>
      </c>
      <c r="H32" s="2">
        <f>INT(F32/60)</f>
        <v>0</v>
      </c>
      <c r="I32" s="1" t="s">
        <v>1</v>
      </c>
      <c r="J32" s="78" t="str">
        <f>TEXT(MOD(ROUNDDOWN(F32,2),60),"00.0")</f>
        <v>20.3</v>
      </c>
      <c r="K32" s="1" t="s">
        <v>0</v>
      </c>
    </row>
    <row r="33" spans="1:11" hidden="1" x14ac:dyDescent="0.25">
      <c r="B33" s="1" t="s">
        <v>8</v>
      </c>
      <c r="D33" s="4">
        <v>200</v>
      </c>
      <c r="E33" s="1" t="s">
        <v>9</v>
      </c>
      <c r="F33" s="5">
        <f t="shared" ref="F33:F41" si="3">D33/F$31</f>
        <v>40.54967334985357</v>
      </c>
      <c r="G33" s="1" t="s">
        <v>10</v>
      </c>
      <c r="H33" s="2">
        <f t="shared" ref="H33:H41" si="4">INT(F33/60)</f>
        <v>0</v>
      </c>
      <c r="I33" s="1" t="s">
        <v>1</v>
      </c>
      <c r="J33" s="78" t="str">
        <f t="shared" ref="J33:J41" si="5">TEXT(MOD(ROUNDDOWN(F33,2),60),"00.0")</f>
        <v>40.5</v>
      </c>
      <c r="K33" s="1" t="s">
        <v>0</v>
      </c>
    </row>
    <row r="34" spans="1:11" hidden="1" x14ac:dyDescent="0.25">
      <c r="B34" s="1" t="s">
        <v>8</v>
      </c>
      <c r="D34" s="4">
        <v>300</v>
      </c>
      <c r="E34" s="1" t="s">
        <v>9</v>
      </c>
      <c r="F34" s="5">
        <f t="shared" si="3"/>
        <v>60.824510024780352</v>
      </c>
      <c r="G34" s="1" t="s">
        <v>10</v>
      </c>
      <c r="H34" s="2">
        <f t="shared" si="4"/>
        <v>1</v>
      </c>
      <c r="I34" s="1" t="s">
        <v>1</v>
      </c>
      <c r="J34" s="78" t="str">
        <f t="shared" si="5"/>
        <v>00.8</v>
      </c>
      <c r="K34" s="1" t="s">
        <v>0</v>
      </c>
    </row>
    <row r="35" spans="1:11" x14ac:dyDescent="0.25">
      <c r="B35" s="1" t="s">
        <v>8</v>
      </c>
      <c r="D35" s="4">
        <v>400</v>
      </c>
      <c r="E35" s="1" t="s">
        <v>9</v>
      </c>
      <c r="F35" s="5">
        <f t="shared" si="3"/>
        <v>81.099346699707141</v>
      </c>
      <c r="G35" s="1" t="s">
        <v>10</v>
      </c>
      <c r="H35" s="2">
        <f t="shared" si="4"/>
        <v>1</v>
      </c>
      <c r="I35" s="1" t="s">
        <v>1</v>
      </c>
      <c r="J35" s="78" t="str">
        <f t="shared" si="5"/>
        <v>21.1</v>
      </c>
      <c r="K35" s="1" t="s">
        <v>0</v>
      </c>
    </row>
    <row r="36" spans="1:11" hidden="1" x14ac:dyDescent="0.25">
      <c r="B36" s="1" t="s">
        <v>8</v>
      </c>
      <c r="D36" s="4">
        <v>600</v>
      </c>
      <c r="E36" s="1" t="s">
        <v>9</v>
      </c>
      <c r="F36" s="5">
        <f t="shared" si="3"/>
        <v>121.6490200495607</v>
      </c>
      <c r="G36" s="1" t="s">
        <v>10</v>
      </c>
      <c r="H36" s="2">
        <f t="shared" si="4"/>
        <v>2</v>
      </c>
      <c r="I36" s="1" t="s">
        <v>1</v>
      </c>
      <c r="J36" s="78" t="str">
        <f t="shared" si="5"/>
        <v>01.6</v>
      </c>
      <c r="K36" s="1" t="s">
        <v>0</v>
      </c>
    </row>
    <row r="37" spans="1:11" hidden="1" x14ac:dyDescent="0.25">
      <c r="B37" s="1" t="s">
        <v>8</v>
      </c>
      <c r="D37" s="4">
        <v>800</v>
      </c>
      <c r="E37" s="1" t="s">
        <v>9</v>
      </c>
      <c r="F37" s="5">
        <f t="shared" si="3"/>
        <v>162.19869339941428</v>
      </c>
      <c r="G37" s="1" t="s">
        <v>10</v>
      </c>
      <c r="H37" s="2">
        <f t="shared" si="4"/>
        <v>2</v>
      </c>
      <c r="I37" s="1" t="s">
        <v>1</v>
      </c>
      <c r="J37" s="78" t="str">
        <f t="shared" si="5"/>
        <v>42.2</v>
      </c>
      <c r="K37" s="1" t="s">
        <v>0</v>
      </c>
    </row>
    <row r="38" spans="1:11" x14ac:dyDescent="0.25">
      <c r="B38" s="1" t="s">
        <v>8</v>
      </c>
      <c r="D38" s="4">
        <v>1000</v>
      </c>
      <c r="E38" s="1" t="s">
        <v>9</v>
      </c>
      <c r="F38" s="5">
        <f t="shared" si="3"/>
        <v>202.74836674926786</v>
      </c>
      <c r="G38" s="1" t="s">
        <v>10</v>
      </c>
      <c r="H38" s="2">
        <f t="shared" si="4"/>
        <v>3</v>
      </c>
      <c r="I38" s="1" t="s">
        <v>1</v>
      </c>
      <c r="J38" s="78" t="str">
        <f t="shared" si="5"/>
        <v>22.7</v>
      </c>
      <c r="K38" s="1" t="s">
        <v>0</v>
      </c>
    </row>
    <row r="39" spans="1:11" hidden="1" x14ac:dyDescent="0.25">
      <c r="B39" s="1" t="s">
        <v>8</v>
      </c>
      <c r="D39" s="4">
        <v>1200</v>
      </c>
      <c r="E39" s="1" t="s">
        <v>9</v>
      </c>
      <c r="F39" s="5">
        <f t="shared" si="3"/>
        <v>243.29804009912141</v>
      </c>
      <c r="G39" s="1" t="s">
        <v>10</v>
      </c>
      <c r="H39" s="2">
        <f t="shared" si="4"/>
        <v>4</v>
      </c>
      <c r="I39" s="1" t="s">
        <v>1</v>
      </c>
      <c r="J39" s="78" t="str">
        <f t="shared" si="5"/>
        <v>03.3</v>
      </c>
      <c r="K39" s="1" t="s">
        <v>0</v>
      </c>
    </row>
    <row r="40" spans="1:11" hidden="1" x14ac:dyDescent="0.25">
      <c r="B40" s="1" t="s">
        <v>8</v>
      </c>
      <c r="D40" s="4">
        <v>1600</v>
      </c>
      <c r="E40" s="1" t="s">
        <v>9</v>
      </c>
      <c r="F40" s="5">
        <f t="shared" si="3"/>
        <v>324.39738679882856</v>
      </c>
      <c r="G40" s="1" t="s">
        <v>10</v>
      </c>
      <c r="H40" s="2">
        <f t="shared" si="4"/>
        <v>5</v>
      </c>
      <c r="I40" s="1" t="s">
        <v>1</v>
      </c>
      <c r="J40" s="78" t="str">
        <f t="shared" si="5"/>
        <v>24.4</v>
      </c>
      <c r="K40" s="1" t="s">
        <v>0</v>
      </c>
    </row>
    <row r="41" spans="1:11" hidden="1" x14ac:dyDescent="0.25">
      <c r="B41" s="1" t="s">
        <v>8</v>
      </c>
      <c r="D41" s="4">
        <v>2000</v>
      </c>
      <c r="E41" s="1" t="s">
        <v>9</v>
      </c>
      <c r="F41" s="5">
        <f t="shared" si="3"/>
        <v>405.49673349853572</v>
      </c>
      <c r="G41" s="1" t="s">
        <v>10</v>
      </c>
      <c r="H41" s="2">
        <f t="shared" si="4"/>
        <v>6</v>
      </c>
      <c r="I41" s="1" t="s">
        <v>1</v>
      </c>
      <c r="J41" s="78" t="str">
        <f t="shared" si="5"/>
        <v>45.5</v>
      </c>
      <c r="K41" s="1" t="s">
        <v>0</v>
      </c>
    </row>
    <row r="42" spans="1:11" ht="8.25" customHeight="1" x14ac:dyDescent="0.25">
      <c r="D42" s="4"/>
      <c r="F42" s="5"/>
      <c r="H42" s="2"/>
      <c r="J42" s="78"/>
    </row>
    <row r="43" spans="1:11" x14ac:dyDescent="0.25">
      <c r="A43" s="7" t="s">
        <v>5</v>
      </c>
      <c r="B43" s="8">
        <v>110</v>
      </c>
      <c r="C43" s="9" t="s">
        <v>6</v>
      </c>
      <c r="D43" s="9"/>
      <c r="E43" s="9"/>
      <c r="F43" s="15">
        <f>$G$7*B43/100</f>
        <v>4.7177777777777781</v>
      </c>
      <c r="G43" s="9" t="s">
        <v>7</v>
      </c>
      <c r="H43" s="9"/>
      <c r="I43" s="56" t="s">
        <v>17</v>
      </c>
      <c r="J43" s="15">
        <f>F43/1000*60*60</f>
        <v>16.984000000000002</v>
      </c>
      <c r="K43" s="10" t="s">
        <v>70</v>
      </c>
    </row>
    <row r="44" spans="1:11" x14ac:dyDescent="0.25">
      <c r="B44" s="1" t="s">
        <v>8</v>
      </c>
      <c r="D44" s="4">
        <v>100</v>
      </c>
      <c r="E44" s="1" t="s">
        <v>9</v>
      </c>
      <c r="F44" s="5">
        <f>D44/F$43</f>
        <v>21.19642016015073</v>
      </c>
      <c r="G44" s="1" t="s">
        <v>10</v>
      </c>
      <c r="H44" s="2">
        <f>INT(F44/60)</f>
        <v>0</v>
      </c>
      <c r="I44" s="1" t="s">
        <v>1</v>
      </c>
      <c r="J44" s="78" t="str">
        <f>TEXT(MOD(ROUNDDOWN(F44,2),60),"00.0")</f>
        <v>21.2</v>
      </c>
      <c r="K44" s="1" t="s">
        <v>0</v>
      </c>
    </row>
    <row r="45" spans="1:11" hidden="1" x14ac:dyDescent="0.25">
      <c r="B45" s="1" t="s">
        <v>8</v>
      </c>
      <c r="D45" s="4">
        <v>200</v>
      </c>
      <c r="E45" s="1" t="s">
        <v>9</v>
      </c>
      <c r="F45" s="5">
        <f t="shared" ref="F45:F53" si="6">D45/F$43</f>
        <v>42.39284032030146</v>
      </c>
      <c r="G45" s="1" t="s">
        <v>10</v>
      </c>
      <c r="H45" s="2">
        <f t="shared" ref="H45:H53" si="7">INT(F45/60)</f>
        <v>0</v>
      </c>
      <c r="I45" s="1" t="s">
        <v>1</v>
      </c>
      <c r="J45" s="78" t="str">
        <f t="shared" ref="J45:J53" si="8">TEXT(MOD(ROUNDDOWN(F45,2),60),"00.0")</f>
        <v>42.4</v>
      </c>
      <c r="K45" s="1" t="s">
        <v>0</v>
      </c>
    </row>
    <row r="46" spans="1:11" hidden="1" x14ac:dyDescent="0.25">
      <c r="B46" s="1" t="s">
        <v>8</v>
      </c>
      <c r="D46" s="4">
        <v>300</v>
      </c>
      <c r="E46" s="1" t="s">
        <v>9</v>
      </c>
      <c r="F46" s="5">
        <f t="shared" si="6"/>
        <v>63.589260480452189</v>
      </c>
      <c r="G46" s="1" t="s">
        <v>10</v>
      </c>
      <c r="H46" s="2">
        <f t="shared" si="7"/>
        <v>1</v>
      </c>
      <c r="I46" s="1" t="s">
        <v>1</v>
      </c>
      <c r="J46" s="78" t="str">
        <f t="shared" si="8"/>
        <v>03.6</v>
      </c>
      <c r="K46" s="1" t="s">
        <v>0</v>
      </c>
    </row>
    <row r="47" spans="1:11" x14ac:dyDescent="0.25">
      <c r="B47" s="1" t="s">
        <v>8</v>
      </c>
      <c r="D47" s="4">
        <v>400</v>
      </c>
      <c r="E47" s="1" t="s">
        <v>9</v>
      </c>
      <c r="F47" s="5">
        <f t="shared" si="6"/>
        <v>84.785680640602919</v>
      </c>
      <c r="G47" s="1" t="s">
        <v>10</v>
      </c>
      <c r="H47" s="2">
        <f t="shared" si="7"/>
        <v>1</v>
      </c>
      <c r="I47" s="1" t="s">
        <v>1</v>
      </c>
      <c r="J47" s="78" t="str">
        <f t="shared" si="8"/>
        <v>24.8</v>
      </c>
      <c r="K47" s="1" t="s">
        <v>0</v>
      </c>
    </row>
    <row r="48" spans="1:11" hidden="1" x14ac:dyDescent="0.25">
      <c r="B48" s="1" t="s">
        <v>8</v>
      </c>
      <c r="D48" s="4">
        <v>600</v>
      </c>
      <c r="E48" s="1" t="s">
        <v>9</v>
      </c>
      <c r="F48" s="5">
        <f t="shared" si="6"/>
        <v>127.17852096090438</v>
      </c>
      <c r="G48" s="1" t="s">
        <v>10</v>
      </c>
      <c r="H48" s="2">
        <f t="shared" si="7"/>
        <v>2</v>
      </c>
      <c r="I48" s="1" t="s">
        <v>1</v>
      </c>
      <c r="J48" s="78" t="str">
        <f t="shared" si="8"/>
        <v>07.2</v>
      </c>
      <c r="K48" s="1" t="s">
        <v>0</v>
      </c>
    </row>
    <row r="49" spans="1:11" hidden="1" x14ac:dyDescent="0.25">
      <c r="B49" s="1" t="s">
        <v>8</v>
      </c>
      <c r="D49" s="4">
        <v>800</v>
      </c>
      <c r="E49" s="1" t="s">
        <v>9</v>
      </c>
      <c r="F49" s="5">
        <f t="shared" si="6"/>
        <v>169.57136128120584</v>
      </c>
      <c r="G49" s="1" t="s">
        <v>10</v>
      </c>
      <c r="H49" s="2">
        <f t="shared" si="7"/>
        <v>2</v>
      </c>
      <c r="I49" s="1" t="s">
        <v>1</v>
      </c>
      <c r="J49" s="78" t="str">
        <f t="shared" si="8"/>
        <v>49.6</v>
      </c>
      <c r="K49" s="1" t="s">
        <v>0</v>
      </c>
    </row>
    <row r="50" spans="1:11" x14ac:dyDescent="0.25">
      <c r="B50" s="1" t="s">
        <v>8</v>
      </c>
      <c r="D50" s="4">
        <v>1000</v>
      </c>
      <c r="E50" s="1" t="s">
        <v>9</v>
      </c>
      <c r="F50" s="5">
        <f t="shared" si="6"/>
        <v>211.96420160150728</v>
      </c>
      <c r="G50" s="1" t="s">
        <v>10</v>
      </c>
      <c r="H50" s="2">
        <f t="shared" si="7"/>
        <v>3</v>
      </c>
      <c r="I50" s="1" t="s">
        <v>1</v>
      </c>
      <c r="J50" s="78" t="str">
        <f t="shared" si="8"/>
        <v>32.0</v>
      </c>
      <c r="K50" s="1" t="s">
        <v>0</v>
      </c>
    </row>
    <row r="51" spans="1:11" hidden="1" x14ac:dyDescent="0.25">
      <c r="B51" s="1" t="s">
        <v>8</v>
      </c>
      <c r="D51" s="4">
        <v>1200</v>
      </c>
      <c r="E51" s="1" t="s">
        <v>9</v>
      </c>
      <c r="F51" s="5">
        <f t="shared" si="6"/>
        <v>254.35704192180876</v>
      </c>
      <c r="G51" s="1" t="s">
        <v>10</v>
      </c>
      <c r="H51" s="2">
        <f t="shared" si="7"/>
        <v>4</v>
      </c>
      <c r="I51" s="1" t="s">
        <v>1</v>
      </c>
      <c r="J51" s="78" t="str">
        <f t="shared" si="8"/>
        <v>14.4</v>
      </c>
      <c r="K51" s="1" t="s">
        <v>0</v>
      </c>
    </row>
    <row r="52" spans="1:11" hidden="1" x14ac:dyDescent="0.25">
      <c r="B52" s="1" t="s">
        <v>8</v>
      </c>
      <c r="D52" s="4">
        <v>1600</v>
      </c>
      <c r="E52" s="1" t="s">
        <v>9</v>
      </c>
      <c r="F52" s="5">
        <f t="shared" si="6"/>
        <v>339.14272256241168</v>
      </c>
      <c r="G52" s="1" t="s">
        <v>10</v>
      </c>
      <c r="H52" s="2">
        <f t="shared" si="7"/>
        <v>5</v>
      </c>
      <c r="I52" s="1" t="s">
        <v>1</v>
      </c>
      <c r="J52" s="78" t="str">
        <f t="shared" si="8"/>
        <v>39.1</v>
      </c>
      <c r="K52" s="1" t="s">
        <v>0</v>
      </c>
    </row>
    <row r="53" spans="1:11" hidden="1" x14ac:dyDescent="0.25">
      <c r="B53" s="1" t="s">
        <v>8</v>
      </c>
      <c r="D53" s="4">
        <v>2000</v>
      </c>
      <c r="E53" s="1" t="s">
        <v>9</v>
      </c>
      <c r="F53" s="5">
        <f t="shared" si="6"/>
        <v>423.92840320301457</v>
      </c>
      <c r="G53" s="1" t="s">
        <v>10</v>
      </c>
      <c r="H53" s="2">
        <f t="shared" si="7"/>
        <v>7</v>
      </c>
      <c r="I53" s="1" t="s">
        <v>1</v>
      </c>
      <c r="J53" s="78" t="str">
        <f t="shared" si="8"/>
        <v>03.9</v>
      </c>
      <c r="K53" s="1" t="s">
        <v>0</v>
      </c>
    </row>
    <row r="54" spans="1:11" ht="8.25" customHeight="1" x14ac:dyDescent="0.25">
      <c r="D54" s="4"/>
      <c r="F54" s="5"/>
      <c r="H54" s="2"/>
      <c r="J54" s="78"/>
    </row>
    <row r="55" spans="1:11" x14ac:dyDescent="0.25">
      <c r="A55" s="7" t="s">
        <v>5</v>
      </c>
      <c r="B55" s="8">
        <v>105</v>
      </c>
      <c r="C55" s="9" t="s">
        <v>6</v>
      </c>
      <c r="D55" s="9"/>
      <c r="E55" s="9"/>
      <c r="F55" s="15">
        <f>$G$7*B55/100</f>
        <v>4.503333333333333</v>
      </c>
      <c r="G55" s="9" t="s">
        <v>7</v>
      </c>
      <c r="H55" s="9"/>
      <c r="I55" s="56" t="s">
        <v>17</v>
      </c>
      <c r="J55" s="15">
        <f>F55/1000*60*60</f>
        <v>16.212</v>
      </c>
      <c r="K55" s="10" t="s">
        <v>70</v>
      </c>
    </row>
    <row r="56" spans="1:11" x14ac:dyDescent="0.25">
      <c r="B56" s="1" t="s">
        <v>8</v>
      </c>
      <c r="D56" s="4">
        <v>100</v>
      </c>
      <c r="E56" s="1" t="s">
        <v>9</v>
      </c>
      <c r="F56" s="5">
        <f>D56/F$55</f>
        <v>22.20577350111029</v>
      </c>
      <c r="G56" s="1" t="s">
        <v>10</v>
      </c>
      <c r="H56" s="2">
        <f>INT(F56/60)</f>
        <v>0</v>
      </c>
      <c r="I56" s="1" t="s">
        <v>1</v>
      </c>
      <c r="J56" s="78" t="str">
        <f>TEXT(MOD(ROUNDDOWN(F56,2),60),"00.0")</f>
        <v>22.2</v>
      </c>
      <c r="K56" s="1" t="s">
        <v>0</v>
      </c>
    </row>
    <row r="57" spans="1:11" hidden="1" x14ac:dyDescent="0.25">
      <c r="B57" s="1" t="s">
        <v>8</v>
      </c>
      <c r="D57" s="4">
        <v>200</v>
      </c>
      <c r="E57" s="1" t="s">
        <v>9</v>
      </c>
      <c r="F57" s="5">
        <f t="shared" ref="F57:F65" si="9">D57/F$55</f>
        <v>44.41154700222058</v>
      </c>
      <c r="G57" s="1" t="s">
        <v>10</v>
      </c>
      <c r="H57" s="2">
        <f t="shared" ref="H57:H65" si="10">INT(F57/60)</f>
        <v>0</v>
      </c>
      <c r="I57" s="1" t="s">
        <v>1</v>
      </c>
      <c r="J57" s="78" t="str">
        <f t="shared" ref="J57:J65" si="11">TEXT(MOD(ROUNDDOWN(F57,2),60),"00.0")</f>
        <v>44.4</v>
      </c>
      <c r="K57" s="1" t="s">
        <v>0</v>
      </c>
    </row>
    <row r="58" spans="1:11" hidden="1" x14ac:dyDescent="0.25">
      <c r="B58" s="1" t="s">
        <v>8</v>
      </c>
      <c r="D58" s="4">
        <v>300</v>
      </c>
      <c r="E58" s="1" t="s">
        <v>9</v>
      </c>
      <c r="F58" s="5">
        <f t="shared" si="9"/>
        <v>66.617320503330873</v>
      </c>
      <c r="G58" s="1" t="s">
        <v>10</v>
      </c>
      <c r="H58" s="2">
        <f t="shared" si="10"/>
        <v>1</v>
      </c>
      <c r="I58" s="1" t="s">
        <v>1</v>
      </c>
      <c r="J58" s="78" t="str">
        <f t="shared" si="11"/>
        <v>06.6</v>
      </c>
      <c r="K58" s="1" t="s">
        <v>0</v>
      </c>
    </row>
    <row r="59" spans="1:11" x14ac:dyDescent="0.25">
      <c r="B59" s="1" t="s">
        <v>8</v>
      </c>
      <c r="D59" s="4">
        <v>400</v>
      </c>
      <c r="E59" s="1" t="s">
        <v>9</v>
      </c>
      <c r="F59" s="5">
        <f t="shared" si="9"/>
        <v>88.82309400444116</v>
      </c>
      <c r="G59" s="1" t="s">
        <v>10</v>
      </c>
      <c r="H59" s="2">
        <f t="shared" si="10"/>
        <v>1</v>
      </c>
      <c r="I59" s="1" t="s">
        <v>1</v>
      </c>
      <c r="J59" s="78" t="str">
        <f t="shared" si="11"/>
        <v>28.8</v>
      </c>
      <c r="K59" s="1" t="s">
        <v>0</v>
      </c>
    </row>
    <row r="60" spans="1:11" hidden="1" x14ac:dyDescent="0.25">
      <c r="B60" s="1" t="s">
        <v>8</v>
      </c>
      <c r="D60" s="4">
        <v>600</v>
      </c>
      <c r="E60" s="1" t="s">
        <v>9</v>
      </c>
      <c r="F60" s="5">
        <f t="shared" si="9"/>
        <v>133.23464100666175</v>
      </c>
      <c r="G60" s="1" t="s">
        <v>10</v>
      </c>
      <c r="H60" s="2">
        <f t="shared" si="10"/>
        <v>2</v>
      </c>
      <c r="I60" s="1" t="s">
        <v>1</v>
      </c>
      <c r="J60" s="78" t="str">
        <f t="shared" si="11"/>
        <v>13.2</v>
      </c>
      <c r="K60" s="1" t="s">
        <v>0</v>
      </c>
    </row>
    <row r="61" spans="1:11" hidden="1" x14ac:dyDescent="0.25">
      <c r="B61" s="1" t="s">
        <v>8</v>
      </c>
      <c r="D61" s="4">
        <v>800</v>
      </c>
      <c r="E61" s="1" t="s">
        <v>9</v>
      </c>
      <c r="F61" s="5">
        <f t="shared" si="9"/>
        <v>177.64618800888232</v>
      </c>
      <c r="G61" s="1" t="s">
        <v>10</v>
      </c>
      <c r="H61" s="2">
        <f t="shared" si="10"/>
        <v>2</v>
      </c>
      <c r="I61" s="1" t="s">
        <v>1</v>
      </c>
      <c r="J61" s="78" t="str">
        <f t="shared" si="11"/>
        <v>57.6</v>
      </c>
      <c r="K61" s="1" t="s">
        <v>0</v>
      </c>
    </row>
    <row r="62" spans="1:11" x14ac:dyDescent="0.25">
      <c r="B62" s="1" t="s">
        <v>8</v>
      </c>
      <c r="D62" s="4">
        <v>1000</v>
      </c>
      <c r="E62" s="1" t="s">
        <v>9</v>
      </c>
      <c r="F62" s="5">
        <f t="shared" si="9"/>
        <v>222.05773501110289</v>
      </c>
      <c r="G62" s="1" t="s">
        <v>10</v>
      </c>
      <c r="H62" s="2">
        <f t="shared" si="10"/>
        <v>3</v>
      </c>
      <c r="I62" s="1" t="s">
        <v>1</v>
      </c>
      <c r="J62" s="78" t="str">
        <f t="shared" si="11"/>
        <v>42.1</v>
      </c>
      <c r="K62" s="1" t="s">
        <v>0</v>
      </c>
    </row>
    <row r="63" spans="1:11" hidden="1" x14ac:dyDescent="0.25">
      <c r="B63" s="1" t="s">
        <v>8</v>
      </c>
      <c r="D63" s="4">
        <v>1200</v>
      </c>
      <c r="E63" s="1" t="s">
        <v>9</v>
      </c>
      <c r="F63" s="5">
        <f t="shared" si="9"/>
        <v>266.46928201332349</v>
      </c>
      <c r="G63" s="1" t="s">
        <v>10</v>
      </c>
      <c r="H63" s="2">
        <f t="shared" si="10"/>
        <v>4</v>
      </c>
      <c r="I63" s="1" t="s">
        <v>1</v>
      </c>
      <c r="J63" s="79" t="str">
        <f t="shared" si="11"/>
        <v>26.5</v>
      </c>
      <c r="K63" s="1" t="s">
        <v>0</v>
      </c>
    </row>
    <row r="64" spans="1:11" hidden="1" x14ac:dyDescent="0.25">
      <c r="B64" s="1" t="s">
        <v>8</v>
      </c>
      <c r="D64" s="4">
        <v>1600</v>
      </c>
      <c r="E64" s="1" t="s">
        <v>9</v>
      </c>
      <c r="F64" s="5">
        <f t="shared" si="9"/>
        <v>355.29237601776464</v>
      </c>
      <c r="G64" s="1" t="s">
        <v>10</v>
      </c>
      <c r="H64" s="2">
        <f t="shared" si="10"/>
        <v>5</v>
      </c>
      <c r="I64" s="1" t="s">
        <v>1</v>
      </c>
      <c r="J64" s="79" t="str">
        <f t="shared" si="11"/>
        <v>55.3</v>
      </c>
      <c r="K64" s="1" t="s">
        <v>0</v>
      </c>
    </row>
    <row r="65" spans="1:11" hidden="1" x14ac:dyDescent="0.25">
      <c r="B65" s="1" t="s">
        <v>8</v>
      </c>
      <c r="D65" s="4">
        <v>2000</v>
      </c>
      <c r="E65" s="1" t="s">
        <v>9</v>
      </c>
      <c r="F65" s="5">
        <f t="shared" si="9"/>
        <v>444.11547002220578</v>
      </c>
      <c r="G65" s="1" t="s">
        <v>10</v>
      </c>
      <c r="H65" s="2">
        <f t="shared" si="10"/>
        <v>7</v>
      </c>
      <c r="I65" s="1" t="s">
        <v>1</v>
      </c>
      <c r="J65" s="79" t="str">
        <f t="shared" si="11"/>
        <v>24.1</v>
      </c>
      <c r="K65" s="1" t="s">
        <v>0</v>
      </c>
    </row>
    <row r="66" spans="1:11" ht="8.25" customHeight="1" x14ac:dyDescent="0.25">
      <c r="D66" s="4"/>
      <c r="F66" s="5"/>
      <c r="H66" s="2"/>
      <c r="J66" s="79"/>
    </row>
    <row r="67" spans="1:11" x14ac:dyDescent="0.25">
      <c r="A67" s="7" t="s">
        <v>5</v>
      </c>
      <c r="B67" s="8">
        <v>100</v>
      </c>
      <c r="C67" s="9" t="s">
        <v>6</v>
      </c>
      <c r="D67" s="9"/>
      <c r="E67" s="9"/>
      <c r="F67" s="15">
        <f>$G$7*B67/100</f>
        <v>4.2888888888888888</v>
      </c>
      <c r="G67" s="9" t="s">
        <v>7</v>
      </c>
      <c r="H67" s="9"/>
      <c r="I67" s="56" t="s">
        <v>17</v>
      </c>
      <c r="J67" s="15">
        <f>F67/1000*60*60</f>
        <v>15.440000000000001</v>
      </c>
      <c r="K67" s="10" t="s">
        <v>70</v>
      </c>
    </row>
    <row r="68" spans="1:11" x14ac:dyDescent="0.25">
      <c r="B68" s="1" t="s">
        <v>8</v>
      </c>
      <c r="D68" s="4">
        <v>100</v>
      </c>
      <c r="E68" s="1" t="s">
        <v>9</v>
      </c>
      <c r="F68" s="5">
        <f>D68/F$67</f>
        <v>23.316062176165804</v>
      </c>
      <c r="G68" s="1" t="s">
        <v>10</v>
      </c>
      <c r="H68" s="2">
        <f>INT(F68/60)</f>
        <v>0</v>
      </c>
      <c r="I68" s="1" t="s">
        <v>1</v>
      </c>
      <c r="J68" s="78" t="str">
        <f>TEXT(MOD(ROUNDDOWN(F68,2),60),"00.0")</f>
        <v>23.3</v>
      </c>
      <c r="K68" s="1" t="s">
        <v>0</v>
      </c>
    </row>
    <row r="69" spans="1:11" hidden="1" x14ac:dyDescent="0.25">
      <c r="B69" s="1" t="s">
        <v>8</v>
      </c>
      <c r="D69" s="4">
        <v>200</v>
      </c>
      <c r="E69" s="1" t="s">
        <v>9</v>
      </c>
      <c r="F69" s="5">
        <f t="shared" ref="F69:F77" si="12">D69/F$67</f>
        <v>46.632124352331608</v>
      </c>
      <c r="G69" s="1" t="s">
        <v>10</v>
      </c>
      <c r="H69" s="2">
        <f t="shared" ref="H69:H77" si="13">INT(F69/60)</f>
        <v>0</v>
      </c>
      <c r="I69" s="1" t="s">
        <v>1</v>
      </c>
      <c r="J69" s="78" t="str">
        <f t="shared" ref="J69:J77" si="14">TEXT(MOD(ROUNDDOWN(F69,2),60),"00.0")</f>
        <v>46.6</v>
      </c>
      <c r="K69" s="1" t="s">
        <v>0</v>
      </c>
    </row>
    <row r="70" spans="1:11" hidden="1" x14ac:dyDescent="0.25">
      <c r="B70" s="1" t="s">
        <v>8</v>
      </c>
      <c r="D70" s="4">
        <v>300</v>
      </c>
      <c r="E70" s="1" t="s">
        <v>9</v>
      </c>
      <c r="F70" s="5">
        <f t="shared" si="12"/>
        <v>69.948186528497416</v>
      </c>
      <c r="G70" s="1" t="s">
        <v>10</v>
      </c>
      <c r="H70" s="2">
        <f t="shared" si="13"/>
        <v>1</v>
      </c>
      <c r="I70" s="1" t="s">
        <v>1</v>
      </c>
      <c r="J70" s="78" t="str">
        <f t="shared" si="14"/>
        <v>09.9</v>
      </c>
      <c r="K70" s="1" t="s">
        <v>0</v>
      </c>
    </row>
    <row r="71" spans="1:11" x14ac:dyDescent="0.25">
      <c r="B71" s="1" t="s">
        <v>8</v>
      </c>
      <c r="D71" s="4">
        <v>400</v>
      </c>
      <c r="E71" s="1" t="s">
        <v>9</v>
      </c>
      <c r="F71" s="5">
        <f t="shared" si="12"/>
        <v>93.264248704663217</v>
      </c>
      <c r="G71" s="1" t="s">
        <v>10</v>
      </c>
      <c r="H71" s="2">
        <f t="shared" si="13"/>
        <v>1</v>
      </c>
      <c r="I71" s="1" t="s">
        <v>1</v>
      </c>
      <c r="J71" s="78" t="str">
        <f t="shared" si="14"/>
        <v>33.3</v>
      </c>
      <c r="K71" s="1" t="s">
        <v>0</v>
      </c>
    </row>
    <row r="72" spans="1:11" hidden="1" x14ac:dyDescent="0.25">
      <c r="B72" s="1" t="s">
        <v>8</v>
      </c>
      <c r="D72" s="4">
        <v>600</v>
      </c>
      <c r="E72" s="1" t="s">
        <v>9</v>
      </c>
      <c r="F72" s="5">
        <f t="shared" si="12"/>
        <v>139.89637305699483</v>
      </c>
      <c r="G72" s="1" t="s">
        <v>10</v>
      </c>
      <c r="H72" s="2">
        <f t="shared" si="13"/>
        <v>2</v>
      </c>
      <c r="I72" s="1" t="s">
        <v>1</v>
      </c>
      <c r="J72" s="78" t="str">
        <f t="shared" si="14"/>
        <v>19.9</v>
      </c>
      <c r="K72" s="1" t="s">
        <v>0</v>
      </c>
    </row>
    <row r="73" spans="1:11" hidden="1" x14ac:dyDescent="0.25">
      <c r="B73" s="1" t="s">
        <v>8</v>
      </c>
      <c r="D73" s="4">
        <v>800</v>
      </c>
      <c r="E73" s="1" t="s">
        <v>9</v>
      </c>
      <c r="F73" s="5">
        <f t="shared" si="12"/>
        <v>186.52849740932643</v>
      </c>
      <c r="G73" s="1" t="s">
        <v>10</v>
      </c>
      <c r="H73" s="2">
        <f t="shared" si="13"/>
        <v>3</v>
      </c>
      <c r="I73" s="1" t="s">
        <v>1</v>
      </c>
      <c r="J73" s="78" t="str">
        <f t="shared" si="14"/>
        <v>06.5</v>
      </c>
      <c r="K73" s="1" t="s">
        <v>0</v>
      </c>
    </row>
    <row r="74" spans="1:11" x14ac:dyDescent="0.25">
      <c r="B74" s="1" t="s">
        <v>8</v>
      </c>
      <c r="D74" s="4">
        <v>1000</v>
      </c>
      <c r="E74" s="1" t="s">
        <v>9</v>
      </c>
      <c r="F74" s="5">
        <f t="shared" si="12"/>
        <v>233.16062176165804</v>
      </c>
      <c r="G74" s="1" t="s">
        <v>10</v>
      </c>
      <c r="H74" s="2">
        <f t="shared" si="13"/>
        <v>3</v>
      </c>
      <c r="I74" s="1" t="s">
        <v>1</v>
      </c>
      <c r="J74" s="78" t="str">
        <f t="shared" si="14"/>
        <v>53.2</v>
      </c>
      <c r="K74" s="1" t="s">
        <v>0</v>
      </c>
    </row>
    <row r="75" spans="1:11" hidden="1" x14ac:dyDescent="0.25">
      <c r="B75" s="1" t="s">
        <v>8</v>
      </c>
      <c r="D75" s="4">
        <v>1200</v>
      </c>
      <c r="E75" s="1" t="s">
        <v>9</v>
      </c>
      <c r="F75" s="5">
        <f t="shared" si="12"/>
        <v>279.79274611398966</v>
      </c>
      <c r="G75" s="1" t="s">
        <v>10</v>
      </c>
      <c r="H75" s="2">
        <f t="shared" si="13"/>
        <v>4</v>
      </c>
      <c r="I75" s="1" t="s">
        <v>1</v>
      </c>
      <c r="J75" s="78" t="str">
        <f t="shared" si="14"/>
        <v>39.8</v>
      </c>
      <c r="K75" s="1" t="s">
        <v>0</v>
      </c>
    </row>
    <row r="76" spans="1:11" hidden="1" x14ac:dyDescent="0.25">
      <c r="B76" s="1" t="s">
        <v>8</v>
      </c>
      <c r="D76" s="4">
        <v>1600</v>
      </c>
      <c r="E76" s="1" t="s">
        <v>9</v>
      </c>
      <c r="F76" s="5">
        <f t="shared" si="12"/>
        <v>373.05699481865287</v>
      </c>
      <c r="G76" s="1" t="s">
        <v>10</v>
      </c>
      <c r="H76" s="2">
        <f t="shared" si="13"/>
        <v>6</v>
      </c>
      <c r="I76" s="1" t="s">
        <v>1</v>
      </c>
      <c r="J76" s="78" t="str">
        <f t="shared" si="14"/>
        <v>13.1</v>
      </c>
      <c r="K76" s="1" t="s">
        <v>0</v>
      </c>
    </row>
    <row r="77" spans="1:11" hidden="1" x14ac:dyDescent="0.25">
      <c r="B77" s="1" t="s">
        <v>8</v>
      </c>
      <c r="D77" s="4">
        <v>2000</v>
      </c>
      <c r="E77" s="1" t="s">
        <v>9</v>
      </c>
      <c r="F77" s="5">
        <f t="shared" si="12"/>
        <v>466.32124352331607</v>
      </c>
      <c r="G77" s="1" t="s">
        <v>10</v>
      </c>
      <c r="H77" s="2">
        <f t="shared" si="13"/>
        <v>7</v>
      </c>
      <c r="I77" s="1" t="s">
        <v>1</v>
      </c>
      <c r="J77" s="78" t="str">
        <f t="shared" si="14"/>
        <v>46.3</v>
      </c>
      <c r="K77" s="1" t="s">
        <v>0</v>
      </c>
    </row>
    <row r="78" spans="1:11" ht="8.25" customHeight="1" x14ac:dyDescent="0.25">
      <c r="D78" s="4"/>
      <c r="F78" s="5"/>
      <c r="H78" s="2"/>
      <c r="J78" s="78"/>
    </row>
    <row r="79" spans="1:11" x14ac:dyDescent="0.25">
      <c r="A79" s="7" t="s">
        <v>5</v>
      </c>
      <c r="B79" s="8">
        <v>95</v>
      </c>
      <c r="C79" s="9" t="s">
        <v>6</v>
      </c>
      <c r="D79" s="9"/>
      <c r="E79" s="9"/>
      <c r="F79" s="15">
        <f>$G$7*B79/100</f>
        <v>4.0744444444444445</v>
      </c>
      <c r="G79" s="9" t="s">
        <v>7</v>
      </c>
      <c r="H79" s="9"/>
      <c r="I79" s="56" t="s">
        <v>17</v>
      </c>
      <c r="J79" s="15">
        <f>F79/1000*60*60</f>
        <v>14.668000000000001</v>
      </c>
      <c r="K79" s="10" t="s">
        <v>70</v>
      </c>
    </row>
    <row r="80" spans="1:11" x14ac:dyDescent="0.25">
      <c r="B80" s="1" t="s">
        <v>8</v>
      </c>
      <c r="D80" s="4">
        <v>100</v>
      </c>
      <c r="E80" s="1" t="s">
        <v>9</v>
      </c>
      <c r="F80" s="5">
        <f>D80/F$79</f>
        <v>24.543223343332425</v>
      </c>
      <c r="G80" s="1" t="s">
        <v>10</v>
      </c>
      <c r="H80" s="2">
        <f>INT(F80/60)</f>
        <v>0</v>
      </c>
      <c r="I80" s="1" t="s">
        <v>1</v>
      </c>
      <c r="J80" s="78" t="str">
        <f>TEXT(MOD(ROUNDDOWN(F80,2),60),"00.0")</f>
        <v>24.5</v>
      </c>
      <c r="K80" s="1" t="s">
        <v>0</v>
      </c>
    </row>
    <row r="81" spans="1:11" hidden="1" x14ac:dyDescent="0.25">
      <c r="B81" s="1" t="s">
        <v>8</v>
      </c>
      <c r="D81" s="4">
        <v>200</v>
      </c>
      <c r="E81" s="1" t="s">
        <v>9</v>
      </c>
      <c r="F81" s="5">
        <f t="shared" ref="F81:F89" si="15">D81/F$79</f>
        <v>49.08644668666485</v>
      </c>
      <c r="G81" s="1" t="s">
        <v>10</v>
      </c>
      <c r="H81" s="2">
        <f t="shared" ref="H81:H89" si="16">INT(F81/60)</f>
        <v>0</v>
      </c>
      <c r="I81" s="1" t="s">
        <v>1</v>
      </c>
      <c r="J81" s="78" t="str">
        <f t="shared" ref="J81:J89" si="17">TEXT(MOD(ROUNDDOWN(F81,2),60),"00.0")</f>
        <v>49.1</v>
      </c>
      <c r="K81" s="1" t="s">
        <v>0</v>
      </c>
    </row>
    <row r="82" spans="1:11" hidden="1" x14ac:dyDescent="0.25">
      <c r="B82" s="1" t="s">
        <v>8</v>
      </c>
      <c r="D82" s="4">
        <v>300</v>
      </c>
      <c r="E82" s="1" t="s">
        <v>9</v>
      </c>
      <c r="F82" s="5">
        <f t="shared" si="15"/>
        <v>73.629670029997271</v>
      </c>
      <c r="G82" s="1" t="s">
        <v>10</v>
      </c>
      <c r="H82" s="2">
        <f t="shared" si="16"/>
        <v>1</v>
      </c>
      <c r="I82" s="1" t="s">
        <v>1</v>
      </c>
      <c r="J82" s="78" t="str">
        <f t="shared" si="17"/>
        <v>13.6</v>
      </c>
      <c r="K82" s="1" t="s">
        <v>0</v>
      </c>
    </row>
    <row r="83" spans="1:11" x14ac:dyDescent="0.25">
      <c r="B83" s="1" t="s">
        <v>8</v>
      </c>
      <c r="D83" s="4">
        <v>400</v>
      </c>
      <c r="E83" s="1" t="s">
        <v>9</v>
      </c>
      <c r="F83" s="5">
        <f t="shared" si="15"/>
        <v>98.1728933733297</v>
      </c>
      <c r="G83" s="1" t="s">
        <v>10</v>
      </c>
      <c r="H83" s="2">
        <f t="shared" si="16"/>
        <v>1</v>
      </c>
      <c r="I83" s="1" t="s">
        <v>1</v>
      </c>
      <c r="J83" s="78" t="str">
        <f t="shared" si="17"/>
        <v>38.2</v>
      </c>
      <c r="K83" s="1" t="s">
        <v>0</v>
      </c>
    </row>
    <row r="84" spans="1:11" hidden="1" x14ac:dyDescent="0.25">
      <c r="B84" s="1" t="s">
        <v>8</v>
      </c>
      <c r="D84" s="4">
        <v>600</v>
      </c>
      <c r="E84" s="1" t="s">
        <v>9</v>
      </c>
      <c r="F84" s="5">
        <f t="shared" si="15"/>
        <v>147.25934005999454</v>
      </c>
      <c r="G84" s="1" t="s">
        <v>10</v>
      </c>
      <c r="H84" s="2">
        <f t="shared" si="16"/>
        <v>2</v>
      </c>
      <c r="I84" s="1" t="s">
        <v>1</v>
      </c>
      <c r="J84" s="78" t="str">
        <f t="shared" si="17"/>
        <v>27.3</v>
      </c>
      <c r="K84" s="1" t="s">
        <v>0</v>
      </c>
    </row>
    <row r="85" spans="1:11" hidden="1" x14ac:dyDescent="0.25">
      <c r="B85" s="1" t="s">
        <v>8</v>
      </c>
      <c r="D85" s="4">
        <v>800</v>
      </c>
      <c r="E85" s="1" t="s">
        <v>9</v>
      </c>
      <c r="F85" s="5">
        <f t="shared" si="15"/>
        <v>196.3457867466594</v>
      </c>
      <c r="G85" s="1" t="s">
        <v>10</v>
      </c>
      <c r="H85" s="2">
        <f t="shared" si="16"/>
        <v>3</v>
      </c>
      <c r="I85" s="1" t="s">
        <v>1</v>
      </c>
      <c r="J85" s="78" t="str">
        <f t="shared" si="17"/>
        <v>16.3</v>
      </c>
      <c r="K85" s="1" t="s">
        <v>0</v>
      </c>
    </row>
    <row r="86" spans="1:11" x14ac:dyDescent="0.25">
      <c r="B86" s="1" t="s">
        <v>8</v>
      </c>
      <c r="D86" s="4">
        <v>1000</v>
      </c>
      <c r="E86" s="1" t="s">
        <v>9</v>
      </c>
      <c r="F86" s="5">
        <f t="shared" si="15"/>
        <v>245.43223343332423</v>
      </c>
      <c r="G86" s="1" t="s">
        <v>10</v>
      </c>
      <c r="H86" s="2">
        <f t="shared" si="16"/>
        <v>4</v>
      </c>
      <c r="I86" s="1" t="s">
        <v>1</v>
      </c>
      <c r="J86" s="78" t="str">
        <f t="shared" si="17"/>
        <v>05.4</v>
      </c>
      <c r="K86" s="1" t="s">
        <v>0</v>
      </c>
    </row>
    <row r="87" spans="1:11" hidden="1" x14ac:dyDescent="0.25">
      <c r="B87" s="1" t="s">
        <v>8</v>
      </c>
      <c r="D87" s="4">
        <v>1200</v>
      </c>
      <c r="E87" s="1" t="s">
        <v>9</v>
      </c>
      <c r="F87" s="5">
        <f t="shared" si="15"/>
        <v>294.51868011998909</v>
      </c>
      <c r="G87" s="1" t="s">
        <v>10</v>
      </c>
      <c r="H87" s="2">
        <f t="shared" si="16"/>
        <v>4</v>
      </c>
      <c r="I87" s="1" t="s">
        <v>1</v>
      </c>
      <c r="J87" s="78" t="str">
        <f t="shared" si="17"/>
        <v>54.5</v>
      </c>
      <c r="K87" s="1" t="s">
        <v>0</v>
      </c>
    </row>
    <row r="88" spans="1:11" hidden="1" x14ac:dyDescent="0.25">
      <c r="B88" s="1" t="s">
        <v>8</v>
      </c>
      <c r="D88" s="4">
        <v>1600</v>
      </c>
      <c r="E88" s="1" t="s">
        <v>9</v>
      </c>
      <c r="F88" s="5">
        <f t="shared" si="15"/>
        <v>392.6915734933188</v>
      </c>
      <c r="G88" s="1" t="s">
        <v>10</v>
      </c>
      <c r="H88" s="2">
        <f t="shared" si="16"/>
        <v>6</v>
      </c>
      <c r="I88" s="1" t="s">
        <v>1</v>
      </c>
      <c r="J88" s="78" t="str">
        <f t="shared" si="17"/>
        <v>32.7</v>
      </c>
      <c r="K88" s="1" t="s">
        <v>0</v>
      </c>
    </row>
    <row r="89" spans="1:11" hidden="1" x14ac:dyDescent="0.25">
      <c r="B89" s="1" t="s">
        <v>8</v>
      </c>
      <c r="D89" s="4">
        <v>2000</v>
      </c>
      <c r="E89" s="1" t="s">
        <v>9</v>
      </c>
      <c r="F89" s="5">
        <f t="shared" si="15"/>
        <v>490.86446686664846</v>
      </c>
      <c r="G89" s="1" t="s">
        <v>10</v>
      </c>
      <c r="H89" s="2">
        <f t="shared" si="16"/>
        <v>8</v>
      </c>
      <c r="I89" s="1" t="s">
        <v>1</v>
      </c>
      <c r="J89" s="78" t="str">
        <f t="shared" si="17"/>
        <v>10.9</v>
      </c>
      <c r="K89" s="1" t="s">
        <v>0</v>
      </c>
    </row>
    <row r="90" spans="1:11" ht="8.25" customHeight="1" x14ac:dyDescent="0.25">
      <c r="D90" s="4"/>
      <c r="F90" s="5"/>
      <c r="H90" s="2"/>
      <c r="J90" s="78"/>
    </row>
    <row r="91" spans="1:11" x14ac:dyDescent="0.25">
      <c r="A91" s="7" t="s">
        <v>5</v>
      </c>
      <c r="B91" s="8">
        <v>90</v>
      </c>
      <c r="C91" s="9" t="s">
        <v>6</v>
      </c>
      <c r="D91" s="9"/>
      <c r="E91" s="9"/>
      <c r="F91" s="15">
        <f>$G$7*B91/100</f>
        <v>3.86</v>
      </c>
      <c r="G91" s="9" t="s">
        <v>7</v>
      </c>
      <c r="H91" s="9"/>
      <c r="I91" s="56" t="s">
        <v>17</v>
      </c>
      <c r="J91" s="15">
        <f>F91/1000*60*60</f>
        <v>13.895999999999999</v>
      </c>
      <c r="K91" s="10" t="s">
        <v>70</v>
      </c>
    </row>
    <row r="92" spans="1:11" x14ac:dyDescent="0.25">
      <c r="B92" s="1" t="s">
        <v>8</v>
      </c>
      <c r="D92" s="4">
        <v>100</v>
      </c>
      <c r="E92" s="1" t="s">
        <v>9</v>
      </c>
      <c r="F92" s="5">
        <f>D92/F$91</f>
        <v>25.906735751295336</v>
      </c>
      <c r="G92" s="1" t="s">
        <v>10</v>
      </c>
      <c r="H92" s="2">
        <f>INT(F92/60)</f>
        <v>0</v>
      </c>
      <c r="I92" s="1" t="s">
        <v>1</v>
      </c>
      <c r="J92" s="78" t="str">
        <f>TEXT(MOD(ROUNDDOWN(F92,2),60),"00.0")</f>
        <v>25.9</v>
      </c>
      <c r="K92" s="1" t="s">
        <v>0</v>
      </c>
    </row>
    <row r="93" spans="1:11" hidden="1" x14ac:dyDescent="0.25">
      <c r="B93" s="1" t="s">
        <v>8</v>
      </c>
      <c r="D93" s="4">
        <v>200</v>
      </c>
      <c r="E93" s="1" t="s">
        <v>9</v>
      </c>
      <c r="F93" s="5">
        <f t="shared" ref="F93:F101" si="18">D93/F$91</f>
        <v>51.813471502590673</v>
      </c>
      <c r="G93" s="1" t="s">
        <v>10</v>
      </c>
      <c r="H93" s="2">
        <f t="shared" ref="H93:H101" si="19">INT(F93/60)</f>
        <v>0</v>
      </c>
      <c r="I93" s="1" t="s">
        <v>1</v>
      </c>
      <c r="J93" s="78" t="str">
        <f t="shared" ref="J93:J101" si="20">TEXT(MOD(ROUNDDOWN(F93,2),60),"00.0")</f>
        <v>51.8</v>
      </c>
      <c r="K93" s="1" t="s">
        <v>0</v>
      </c>
    </row>
    <row r="94" spans="1:11" hidden="1" x14ac:dyDescent="0.25">
      <c r="B94" s="1" t="s">
        <v>8</v>
      </c>
      <c r="D94" s="4">
        <v>300</v>
      </c>
      <c r="E94" s="1" t="s">
        <v>9</v>
      </c>
      <c r="F94" s="5">
        <f t="shared" si="18"/>
        <v>77.720207253886016</v>
      </c>
      <c r="G94" s="1" t="s">
        <v>10</v>
      </c>
      <c r="H94" s="2">
        <f t="shared" si="19"/>
        <v>1</v>
      </c>
      <c r="I94" s="1" t="s">
        <v>1</v>
      </c>
      <c r="J94" s="78" t="str">
        <f t="shared" si="20"/>
        <v>17.7</v>
      </c>
      <c r="K94" s="1" t="s">
        <v>0</v>
      </c>
    </row>
    <row r="95" spans="1:11" x14ac:dyDescent="0.25">
      <c r="B95" s="1" t="s">
        <v>8</v>
      </c>
      <c r="D95" s="4">
        <v>400</v>
      </c>
      <c r="E95" s="1" t="s">
        <v>9</v>
      </c>
      <c r="F95" s="5">
        <f t="shared" si="18"/>
        <v>103.62694300518135</v>
      </c>
      <c r="G95" s="1" t="s">
        <v>10</v>
      </c>
      <c r="H95" s="2">
        <f t="shared" si="19"/>
        <v>1</v>
      </c>
      <c r="I95" s="1" t="s">
        <v>1</v>
      </c>
      <c r="J95" s="78" t="str">
        <f t="shared" si="20"/>
        <v>43.6</v>
      </c>
      <c r="K95" s="1" t="s">
        <v>0</v>
      </c>
    </row>
    <row r="96" spans="1:11" hidden="1" x14ac:dyDescent="0.25">
      <c r="B96" s="1" t="s">
        <v>8</v>
      </c>
      <c r="D96" s="4">
        <v>600</v>
      </c>
      <c r="E96" s="1" t="s">
        <v>9</v>
      </c>
      <c r="F96" s="5">
        <f t="shared" si="18"/>
        <v>155.44041450777203</v>
      </c>
      <c r="G96" s="1" t="s">
        <v>10</v>
      </c>
      <c r="H96" s="2">
        <f t="shared" si="19"/>
        <v>2</v>
      </c>
      <c r="I96" s="1" t="s">
        <v>1</v>
      </c>
      <c r="J96" s="78" t="str">
        <f t="shared" si="20"/>
        <v>35.4</v>
      </c>
      <c r="K96" s="1" t="s">
        <v>0</v>
      </c>
    </row>
    <row r="97" spans="1:11" hidden="1" x14ac:dyDescent="0.25">
      <c r="B97" s="1" t="s">
        <v>8</v>
      </c>
      <c r="D97" s="4">
        <v>800</v>
      </c>
      <c r="E97" s="1" t="s">
        <v>9</v>
      </c>
      <c r="F97" s="5">
        <f t="shared" si="18"/>
        <v>207.25388601036269</v>
      </c>
      <c r="G97" s="1" t="s">
        <v>10</v>
      </c>
      <c r="H97" s="2">
        <f t="shared" si="19"/>
        <v>3</v>
      </c>
      <c r="I97" s="1" t="s">
        <v>1</v>
      </c>
      <c r="J97" s="78" t="str">
        <f t="shared" si="20"/>
        <v>27.3</v>
      </c>
      <c r="K97" s="1" t="s">
        <v>0</v>
      </c>
    </row>
    <row r="98" spans="1:11" x14ac:dyDescent="0.25">
      <c r="B98" s="1" t="s">
        <v>8</v>
      </c>
      <c r="D98" s="4">
        <v>1000</v>
      </c>
      <c r="E98" s="1" t="s">
        <v>9</v>
      </c>
      <c r="F98" s="5">
        <f t="shared" si="18"/>
        <v>259.06735751295338</v>
      </c>
      <c r="G98" s="1" t="s">
        <v>10</v>
      </c>
      <c r="H98" s="2">
        <f t="shared" si="19"/>
        <v>4</v>
      </c>
      <c r="I98" s="1" t="s">
        <v>1</v>
      </c>
      <c r="J98" s="78" t="str">
        <f t="shared" si="20"/>
        <v>19.1</v>
      </c>
      <c r="K98" s="1" t="s">
        <v>0</v>
      </c>
    </row>
    <row r="99" spans="1:11" hidden="1" x14ac:dyDescent="0.25">
      <c r="B99" s="1" t="s">
        <v>8</v>
      </c>
      <c r="D99" s="4">
        <v>1200</v>
      </c>
      <c r="E99" s="1" t="s">
        <v>9</v>
      </c>
      <c r="F99" s="5">
        <f t="shared" si="18"/>
        <v>310.88082901554407</v>
      </c>
      <c r="G99" s="1" t="s">
        <v>10</v>
      </c>
      <c r="H99" s="2">
        <f t="shared" si="19"/>
        <v>5</v>
      </c>
      <c r="I99" s="1" t="s">
        <v>1</v>
      </c>
      <c r="J99" s="78" t="str">
        <f t="shared" si="20"/>
        <v>10.9</v>
      </c>
      <c r="K99" s="1" t="s">
        <v>0</v>
      </c>
    </row>
    <row r="100" spans="1:11" hidden="1" x14ac:dyDescent="0.25">
      <c r="B100" s="1" t="s">
        <v>8</v>
      </c>
      <c r="D100" s="4">
        <v>1600</v>
      </c>
      <c r="E100" s="1" t="s">
        <v>9</v>
      </c>
      <c r="F100" s="5">
        <f t="shared" si="18"/>
        <v>414.50777202072538</v>
      </c>
      <c r="G100" s="1" t="s">
        <v>10</v>
      </c>
      <c r="H100" s="2">
        <f t="shared" si="19"/>
        <v>6</v>
      </c>
      <c r="I100" s="1" t="s">
        <v>1</v>
      </c>
      <c r="J100" s="78" t="str">
        <f t="shared" si="20"/>
        <v>54.5</v>
      </c>
      <c r="K100" s="1" t="s">
        <v>0</v>
      </c>
    </row>
    <row r="101" spans="1:11" hidden="1" x14ac:dyDescent="0.25">
      <c r="B101" s="1" t="s">
        <v>8</v>
      </c>
      <c r="D101" s="4">
        <v>2000</v>
      </c>
      <c r="E101" s="1" t="s">
        <v>9</v>
      </c>
      <c r="F101" s="5">
        <f t="shared" si="18"/>
        <v>518.13471502590676</v>
      </c>
      <c r="G101" s="1" t="s">
        <v>10</v>
      </c>
      <c r="H101" s="2">
        <f t="shared" si="19"/>
        <v>8</v>
      </c>
      <c r="I101" s="1" t="s">
        <v>1</v>
      </c>
      <c r="J101" s="78" t="str">
        <f t="shared" si="20"/>
        <v>38.1</v>
      </c>
      <c r="K101" s="1" t="s">
        <v>0</v>
      </c>
    </row>
    <row r="102" spans="1:11" ht="8.25" customHeight="1" x14ac:dyDescent="0.25">
      <c r="D102" s="4"/>
      <c r="F102" s="5"/>
      <c r="H102" s="2"/>
      <c r="J102" s="78"/>
    </row>
    <row r="103" spans="1:11" x14ac:dyDescent="0.25">
      <c r="A103" s="7" t="s">
        <v>5</v>
      </c>
      <c r="B103" s="8">
        <v>85</v>
      </c>
      <c r="C103" s="9" t="s">
        <v>6</v>
      </c>
      <c r="D103" s="9"/>
      <c r="E103" s="9"/>
      <c r="F103" s="15">
        <f>$G$7*B103/100</f>
        <v>3.6455555555555552</v>
      </c>
      <c r="G103" s="9" t="s">
        <v>7</v>
      </c>
      <c r="H103" s="9"/>
      <c r="I103" s="56" t="s">
        <v>17</v>
      </c>
      <c r="J103" s="15">
        <f>F103/1000*60*60</f>
        <v>13.123999999999999</v>
      </c>
      <c r="K103" s="10" t="s">
        <v>70</v>
      </c>
    </row>
    <row r="104" spans="1:11" x14ac:dyDescent="0.25">
      <c r="B104" s="1" t="s">
        <v>8</v>
      </c>
      <c r="D104" s="4">
        <v>100</v>
      </c>
      <c r="E104" s="1" t="s">
        <v>9</v>
      </c>
      <c r="F104" s="5">
        <f>D104/F$103</f>
        <v>27.430661383724477</v>
      </c>
      <c r="G104" s="1" t="s">
        <v>10</v>
      </c>
      <c r="H104" s="2">
        <f>INT(F104/60)</f>
        <v>0</v>
      </c>
      <c r="I104" s="1" t="s">
        <v>1</v>
      </c>
      <c r="J104" s="78" t="str">
        <f>TEXT(MOD(ROUNDDOWN(F104,2),60),"00.0")</f>
        <v>27.4</v>
      </c>
      <c r="K104" s="1" t="s">
        <v>0</v>
      </c>
    </row>
    <row r="105" spans="1:11" hidden="1" x14ac:dyDescent="0.25">
      <c r="B105" s="1" t="s">
        <v>8</v>
      </c>
      <c r="D105" s="4">
        <v>200</v>
      </c>
      <c r="E105" s="1" t="s">
        <v>9</v>
      </c>
      <c r="F105" s="5">
        <f t="shared" ref="F105:F113" si="21">D105/F$103</f>
        <v>54.861322767448954</v>
      </c>
      <c r="G105" s="1" t="s">
        <v>10</v>
      </c>
      <c r="H105" s="2">
        <f t="shared" ref="H105:H113" si="22">INT(F105/60)</f>
        <v>0</v>
      </c>
      <c r="I105" s="1" t="s">
        <v>1</v>
      </c>
      <c r="J105" s="78" t="str">
        <f t="shared" ref="J105:J113" si="23">TEXT(MOD(ROUNDDOWN(F105,2),60),"00.0")</f>
        <v>54.9</v>
      </c>
      <c r="K105" s="1" t="s">
        <v>0</v>
      </c>
    </row>
    <row r="106" spans="1:11" hidden="1" x14ac:dyDescent="0.25">
      <c r="B106" s="1" t="s">
        <v>8</v>
      </c>
      <c r="D106" s="4">
        <v>300</v>
      </c>
      <c r="E106" s="1" t="s">
        <v>9</v>
      </c>
      <c r="F106" s="5">
        <f t="shared" si="21"/>
        <v>82.291984151173423</v>
      </c>
      <c r="G106" s="1" t="s">
        <v>10</v>
      </c>
      <c r="H106" s="2">
        <f t="shared" si="22"/>
        <v>1</v>
      </c>
      <c r="I106" s="1" t="s">
        <v>1</v>
      </c>
      <c r="J106" s="78" t="str">
        <f t="shared" si="23"/>
        <v>22.3</v>
      </c>
      <c r="K106" s="1" t="s">
        <v>0</v>
      </c>
    </row>
    <row r="107" spans="1:11" x14ac:dyDescent="0.25">
      <c r="B107" s="1" t="s">
        <v>8</v>
      </c>
      <c r="D107" s="4">
        <v>400</v>
      </c>
      <c r="E107" s="1" t="s">
        <v>9</v>
      </c>
      <c r="F107" s="5">
        <f t="shared" si="21"/>
        <v>109.72264553489791</v>
      </c>
      <c r="G107" s="1" t="s">
        <v>10</v>
      </c>
      <c r="H107" s="2">
        <f t="shared" si="22"/>
        <v>1</v>
      </c>
      <c r="I107" s="1" t="s">
        <v>1</v>
      </c>
      <c r="J107" s="78" t="str">
        <f t="shared" si="23"/>
        <v>49.7</v>
      </c>
      <c r="K107" s="1" t="s">
        <v>0</v>
      </c>
    </row>
    <row r="108" spans="1:11" hidden="1" x14ac:dyDescent="0.25">
      <c r="B108" s="1" t="s">
        <v>8</v>
      </c>
      <c r="D108" s="4">
        <v>600</v>
      </c>
      <c r="E108" s="1" t="s">
        <v>9</v>
      </c>
      <c r="F108" s="5">
        <f t="shared" si="21"/>
        <v>164.58396830234685</v>
      </c>
      <c r="G108" s="1" t="s">
        <v>10</v>
      </c>
      <c r="H108" s="2">
        <f t="shared" si="22"/>
        <v>2</v>
      </c>
      <c r="I108" s="1" t="s">
        <v>1</v>
      </c>
      <c r="J108" s="78" t="str">
        <f t="shared" si="23"/>
        <v>44.6</v>
      </c>
      <c r="K108" s="1" t="s">
        <v>0</v>
      </c>
    </row>
    <row r="109" spans="1:11" hidden="1" x14ac:dyDescent="0.25">
      <c r="B109" s="1" t="s">
        <v>8</v>
      </c>
      <c r="D109" s="4">
        <v>800</v>
      </c>
      <c r="E109" s="1" t="s">
        <v>9</v>
      </c>
      <c r="F109" s="5">
        <f t="shared" si="21"/>
        <v>219.44529106979581</v>
      </c>
      <c r="G109" s="1" t="s">
        <v>10</v>
      </c>
      <c r="H109" s="2">
        <f t="shared" si="22"/>
        <v>3</v>
      </c>
      <c r="I109" s="1" t="s">
        <v>1</v>
      </c>
      <c r="J109" s="78" t="str">
        <f t="shared" si="23"/>
        <v>39.4</v>
      </c>
      <c r="K109" s="1" t="s">
        <v>0</v>
      </c>
    </row>
    <row r="110" spans="1:11" x14ac:dyDescent="0.25">
      <c r="B110" s="1" t="s">
        <v>8</v>
      </c>
      <c r="D110" s="4">
        <v>1000</v>
      </c>
      <c r="E110" s="1" t="s">
        <v>9</v>
      </c>
      <c r="F110" s="5">
        <f t="shared" si="21"/>
        <v>274.30661383724475</v>
      </c>
      <c r="G110" s="1" t="s">
        <v>10</v>
      </c>
      <c r="H110" s="2">
        <f t="shared" si="22"/>
        <v>4</v>
      </c>
      <c r="I110" s="1" t="s">
        <v>1</v>
      </c>
      <c r="J110" s="78" t="str">
        <f t="shared" si="23"/>
        <v>34.3</v>
      </c>
      <c r="K110" s="1" t="s">
        <v>0</v>
      </c>
    </row>
    <row r="111" spans="1:11" hidden="1" x14ac:dyDescent="0.25">
      <c r="B111" s="1" t="s">
        <v>8</v>
      </c>
      <c r="D111" s="4">
        <v>1200</v>
      </c>
      <c r="E111" s="1" t="s">
        <v>9</v>
      </c>
      <c r="F111" s="5">
        <f t="shared" si="21"/>
        <v>329.16793660469369</v>
      </c>
      <c r="G111" s="1" t="s">
        <v>10</v>
      </c>
      <c r="H111" s="2">
        <f t="shared" si="22"/>
        <v>5</v>
      </c>
      <c r="I111" s="1" t="s">
        <v>1</v>
      </c>
      <c r="J111" s="78" t="str">
        <f t="shared" si="23"/>
        <v>29.2</v>
      </c>
      <c r="K111" s="1" t="s">
        <v>0</v>
      </c>
    </row>
    <row r="112" spans="1:11" hidden="1" x14ac:dyDescent="0.25">
      <c r="B112" s="1" t="s">
        <v>8</v>
      </c>
      <c r="D112" s="4">
        <v>1600</v>
      </c>
      <c r="E112" s="1" t="s">
        <v>9</v>
      </c>
      <c r="F112" s="5">
        <f t="shared" si="21"/>
        <v>438.89058213959163</v>
      </c>
      <c r="G112" s="1" t="s">
        <v>10</v>
      </c>
      <c r="H112" s="2">
        <f t="shared" si="22"/>
        <v>7</v>
      </c>
      <c r="I112" s="1" t="s">
        <v>1</v>
      </c>
      <c r="J112" s="78" t="str">
        <f t="shared" si="23"/>
        <v>18.9</v>
      </c>
      <c r="K112" s="1" t="s">
        <v>0</v>
      </c>
    </row>
    <row r="113" spans="1:11" hidden="1" x14ac:dyDescent="0.25">
      <c r="B113" s="1" t="s">
        <v>8</v>
      </c>
      <c r="D113" s="4">
        <v>2000</v>
      </c>
      <c r="E113" s="1" t="s">
        <v>9</v>
      </c>
      <c r="F113" s="5">
        <f t="shared" si="21"/>
        <v>548.61322767448951</v>
      </c>
      <c r="G113" s="1" t="s">
        <v>10</v>
      </c>
      <c r="H113" s="2">
        <f t="shared" si="22"/>
        <v>9</v>
      </c>
      <c r="I113" s="1" t="s">
        <v>1</v>
      </c>
      <c r="J113" s="78" t="str">
        <f t="shared" si="23"/>
        <v>08.6</v>
      </c>
      <c r="K113" s="1" t="s">
        <v>0</v>
      </c>
    </row>
    <row r="114" spans="1:11" ht="8.25" customHeight="1" x14ac:dyDescent="0.25">
      <c r="D114" s="4"/>
      <c r="F114" s="5"/>
      <c r="H114" s="2"/>
      <c r="J114" s="78"/>
    </row>
    <row r="115" spans="1:11" x14ac:dyDescent="0.25">
      <c r="A115" s="7" t="s">
        <v>5</v>
      </c>
      <c r="B115" s="8">
        <v>80</v>
      </c>
      <c r="C115" s="9" t="s">
        <v>6</v>
      </c>
      <c r="D115" s="9"/>
      <c r="E115" s="9"/>
      <c r="F115" s="15">
        <f>$G$7*B115/100</f>
        <v>3.431111111111111</v>
      </c>
      <c r="G115" s="9" t="s">
        <v>7</v>
      </c>
      <c r="H115" s="9"/>
      <c r="I115" s="56" t="s">
        <v>17</v>
      </c>
      <c r="J115" s="15">
        <f>F115/1000*60*60</f>
        <v>12.351999999999999</v>
      </c>
      <c r="K115" s="10" t="s">
        <v>70</v>
      </c>
    </row>
    <row r="116" spans="1:11" x14ac:dyDescent="0.25">
      <c r="B116" s="1" t="s">
        <v>8</v>
      </c>
      <c r="D116" s="4">
        <v>100</v>
      </c>
      <c r="E116" s="1" t="s">
        <v>9</v>
      </c>
      <c r="F116" s="5">
        <f>D116/F$115</f>
        <v>29.145077720207254</v>
      </c>
      <c r="G116" s="1" t="s">
        <v>10</v>
      </c>
      <c r="H116" s="2">
        <f>INT(F116/60)</f>
        <v>0</v>
      </c>
      <c r="I116" s="1" t="s">
        <v>1</v>
      </c>
      <c r="J116" s="78" t="str">
        <f>TEXT(MOD(ROUNDDOWN(F116,2),60),"00.0")</f>
        <v>29.1</v>
      </c>
      <c r="K116" s="1" t="s">
        <v>0</v>
      </c>
    </row>
    <row r="117" spans="1:11" hidden="1" x14ac:dyDescent="0.25">
      <c r="B117" s="1" t="s">
        <v>8</v>
      </c>
      <c r="D117" s="4">
        <v>200</v>
      </c>
      <c r="E117" s="1" t="s">
        <v>9</v>
      </c>
      <c r="F117" s="5">
        <f t="shared" ref="F117:F125" si="24">D117/F$115</f>
        <v>58.290155440414509</v>
      </c>
      <c r="G117" s="1" t="s">
        <v>10</v>
      </c>
      <c r="H117" s="2">
        <f t="shared" ref="H117:H125" si="25">INT(F117/60)</f>
        <v>0</v>
      </c>
      <c r="I117" s="1" t="s">
        <v>1</v>
      </c>
      <c r="J117" s="78" t="str">
        <f t="shared" ref="J117:J125" si="26">TEXT(MOD(ROUNDDOWN(F117,2),60),"00.0")</f>
        <v>58.3</v>
      </c>
      <c r="K117" s="1" t="s">
        <v>0</v>
      </c>
    </row>
    <row r="118" spans="1:11" hidden="1" x14ac:dyDescent="0.25">
      <c r="B118" s="1" t="s">
        <v>8</v>
      </c>
      <c r="D118" s="4">
        <v>300</v>
      </c>
      <c r="E118" s="1" t="s">
        <v>9</v>
      </c>
      <c r="F118" s="5">
        <f t="shared" si="24"/>
        <v>87.435233160621763</v>
      </c>
      <c r="G118" s="1" t="s">
        <v>10</v>
      </c>
      <c r="H118" s="2">
        <f t="shared" si="25"/>
        <v>1</v>
      </c>
      <c r="I118" s="1" t="s">
        <v>1</v>
      </c>
      <c r="J118" s="78" t="str">
        <f t="shared" si="26"/>
        <v>27.4</v>
      </c>
      <c r="K118" s="1" t="s">
        <v>0</v>
      </c>
    </row>
    <row r="119" spans="1:11" x14ac:dyDescent="0.25">
      <c r="B119" s="1" t="s">
        <v>8</v>
      </c>
      <c r="D119" s="4">
        <v>400</v>
      </c>
      <c r="E119" s="1" t="s">
        <v>9</v>
      </c>
      <c r="F119" s="5">
        <f t="shared" si="24"/>
        <v>116.58031088082902</v>
      </c>
      <c r="G119" s="1" t="s">
        <v>10</v>
      </c>
      <c r="H119" s="2">
        <f t="shared" si="25"/>
        <v>1</v>
      </c>
      <c r="I119" s="1" t="s">
        <v>1</v>
      </c>
      <c r="J119" s="78" t="str">
        <f t="shared" si="26"/>
        <v>56.6</v>
      </c>
      <c r="K119" s="1" t="s">
        <v>0</v>
      </c>
    </row>
    <row r="120" spans="1:11" hidden="1" x14ac:dyDescent="0.25">
      <c r="B120" s="1" t="s">
        <v>8</v>
      </c>
      <c r="D120" s="4">
        <v>600</v>
      </c>
      <c r="E120" s="1" t="s">
        <v>9</v>
      </c>
      <c r="F120" s="5">
        <f t="shared" si="24"/>
        <v>174.87046632124353</v>
      </c>
      <c r="G120" s="1" t="s">
        <v>10</v>
      </c>
      <c r="H120" s="2">
        <f t="shared" si="25"/>
        <v>2</v>
      </c>
      <c r="I120" s="1" t="s">
        <v>1</v>
      </c>
      <c r="J120" s="78" t="str">
        <f t="shared" si="26"/>
        <v>54.9</v>
      </c>
      <c r="K120" s="1" t="s">
        <v>0</v>
      </c>
    </row>
    <row r="121" spans="1:11" hidden="1" x14ac:dyDescent="0.25">
      <c r="B121" s="1" t="s">
        <v>8</v>
      </c>
      <c r="D121" s="4">
        <v>800</v>
      </c>
      <c r="E121" s="1" t="s">
        <v>9</v>
      </c>
      <c r="F121" s="5">
        <f t="shared" si="24"/>
        <v>233.16062176165804</v>
      </c>
      <c r="G121" s="1" t="s">
        <v>10</v>
      </c>
      <c r="H121" s="2">
        <f t="shared" si="25"/>
        <v>3</v>
      </c>
      <c r="I121" s="1" t="s">
        <v>1</v>
      </c>
      <c r="J121" s="78" t="str">
        <f t="shared" si="26"/>
        <v>53.2</v>
      </c>
      <c r="K121" s="1" t="s">
        <v>0</v>
      </c>
    </row>
    <row r="122" spans="1:11" x14ac:dyDescent="0.25">
      <c r="B122" s="1" t="s">
        <v>8</v>
      </c>
      <c r="D122" s="4">
        <v>1000</v>
      </c>
      <c r="E122" s="1" t="s">
        <v>9</v>
      </c>
      <c r="F122" s="5">
        <f t="shared" si="24"/>
        <v>291.45077720207257</v>
      </c>
      <c r="G122" s="1" t="s">
        <v>10</v>
      </c>
      <c r="H122" s="2">
        <f t="shared" si="25"/>
        <v>4</v>
      </c>
      <c r="I122" s="1" t="s">
        <v>1</v>
      </c>
      <c r="J122" s="78" t="str">
        <f t="shared" si="26"/>
        <v>51.5</v>
      </c>
      <c r="K122" s="1" t="s">
        <v>0</v>
      </c>
    </row>
    <row r="123" spans="1:11" hidden="1" x14ac:dyDescent="0.25">
      <c r="B123" s="1" t="s">
        <v>8</v>
      </c>
      <c r="D123" s="4">
        <v>1200</v>
      </c>
      <c r="E123" s="1" t="s">
        <v>9</v>
      </c>
      <c r="F123" s="5">
        <f t="shared" si="24"/>
        <v>349.74093264248705</v>
      </c>
      <c r="G123" s="1" t="s">
        <v>10</v>
      </c>
      <c r="H123" s="2">
        <f t="shared" si="25"/>
        <v>5</v>
      </c>
      <c r="I123" s="1" t="s">
        <v>1</v>
      </c>
      <c r="J123" s="78" t="str">
        <f t="shared" si="26"/>
        <v>49.7</v>
      </c>
      <c r="K123" s="1" t="s">
        <v>0</v>
      </c>
    </row>
    <row r="124" spans="1:11" hidden="1" x14ac:dyDescent="0.25">
      <c r="B124" s="1" t="s">
        <v>8</v>
      </c>
      <c r="D124" s="4">
        <v>1600</v>
      </c>
      <c r="E124" s="1" t="s">
        <v>9</v>
      </c>
      <c r="F124" s="5">
        <f t="shared" si="24"/>
        <v>466.32124352331607</v>
      </c>
      <c r="G124" s="1" t="s">
        <v>10</v>
      </c>
      <c r="H124" s="2">
        <f t="shared" si="25"/>
        <v>7</v>
      </c>
      <c r="I124" s="1" t="s">
        <v>1</v>
      </c>
      <c r="J124" s="78" t="str">
        <f t="shared" si="26"/>
        <v>46.3</v>
      </c>
      <c r="K124" s="1" t="s">
        <v>0</v>
      </c>
    </row>
    <row r="125" spans="1:11" hidden="1" x14ac:dyDescent="0.25">
      <c r="B125" s="1" t="s">
        <v>8</v>
      </c>
      <c r="D125" s="4">
        <v>2000</v>
      </c>
      <c r="E125" s="1" t="s">
        <v>9</v>
      </c>
      <c r="F125" s="5">
        <f t="shared" si="24"/>
        <v>582.90155440414514</v>
      </c>
      <c r="G125" s="1" t="s">
        <v>10</v>
      </c>
      <c r="H125" s="2">
        <f t="shared" si="25"/>
        <v>9</v>
      </c>
      <c r="I125" s="1" t="s">
        <v>1</v>
      </c>
      <c r="J125" s="78" t="str">
        <f t="shared" si="26"/>
        <v>42.9</v>
      </c>
      <c r="K125" s="1" t="s">
        <v>0</v>
      </c>
    </row>
    <row r="126" spans="1:11" ht="8.25" customHeight="1" x14ac:dyDescent="0.25">
      <c r="D126" s="4"/>
      <c r="F126" s="5"/>
      <c r="H126" s="2"/>
      <c r="J126" s="78"/>
    </row>
    <row r="127" spans="1:11" x14ac:dyDescent="0.25">
      <c r="A127" s="7" t="s">
        <v>5</v>
      </c>
      <c r="B127" s="8">
        <v>75</v>
      </c>
      <c r="C127" s="9" t="s">
        <v>6</v>
      </c>
      <c r="D127" s="9"/>
      <c r="E127" s="9"/>
      <c r="F127" s="15">
        <f>$G$7*B127/100</f>
        <v>3.2166666666666663</v>
      </c>
      <c r="G127" s="9" t="s">
        <v>7</v>
      </c>
      <c r="H127" s="9"/>
      <c r="I127" s="56" t="s">
        <v>17</v>
      </c>
      <c r="J127" s="15">
        <f>F127/1000*60*60</f>
        <v>11.579999999999998</v>
      </c>
      <c r="K127" s="10" t="s">
        <v>70</v>
      </c>
    </row>
    <row r="128" spans="1:11" x14ac:dyDescent="0.25">
      <c r="B128" s="1" t="s">
        <v>8</v>
      </c>
      <c r="D128" s="4">
        <v>100</v>
      </c>
      <c r="E128" s="1" t="s">
        <v>9</v>
      </c>
      <c r="F128" s="5">
        <f>D128/F$127</f>
        <v>31.088082901554408</v>
      </c>
      <c r="G128" s="1" t="s">
        <v>10</v>
      </c>
      <c r="H128" s="2">
        <f>INT(F128/60)</f>
        <v>0</v>
      </c>
      <c r="I128" s="1" t="s">
        <v>1</v>
      </c>
      <c r="J128" s="78" t="str">
        <f>TEXT(MOD(ROUNDDOWN(F128,2),60),"00.0")</f>
        <v>31.1</v>
      </c>
      <c r="K128" s="1" t="s">
        <v>0</v>
      </c>
    </row>
    <row r="129" spans="1:11" hidden="1" x14ac:dyDescent="0.25">
      <c r="B129" s="1" t="s">
        <v>8</v>
      </c>
      <c r="D129" s="4">
        <v>200</v>
      </c>
      <c r="E129" s="1" t="s">
        <v>9</v>
      </c>
      <c r="F129" s="5">
        <f t="shared" ref="F129:F137" si="27">D129/F$127</f>
        <v>62.176165803108816</v>
      </c>
      <c r="G129" s="1" t="s">
        <v>10</v>
      </c>
      <c r="H129" s="2">
        <f t="shared" ref="H129:H137" si="28">INT(F129/60)</f>
        <v>1</v>
      </c>
      <c r="I129" s="1" t="s">
        <v>1</v>
      </c>
      <c r="J129" s="78" t="str">
        <f t="shared" ref="J129:J137" si="29">TEXT(MOD(ROUNDDOWN(F129,2),60),"00.0")</f>
        <v>02.2</v>
      </c>
      <c r="K129" s="1" t="s">
        <v>0</v>
      </c>
    </row>
    <row r="130" spans="1:11" hidden="1" x14ac:dyDescent="0.25">
      <c r="B130" s="1" t="s">
        <v>8</v>
      </c>
      <c r="D130" s="4">
        <v>300</v>
      </c>
      <c r="E130" s="1" t="s">
        <v>9</v>
      </c>
      <c r="F130" s="5">
        <f t="shared" si="27"/>
        <v>93.264248704663217</v>
      </c>
      <c r="G130" s="1" t="s">
        <v>10</v>
      </c>
      <c r="H130" s="2">
        <f t="shared" si="28"/>
        <v>1</v>
      </c>
      <c r="I130" s="1" t="s">
        <v>1</v>
      </c>
      <c r="J130" s="78" t="str">
        <f t="shared" si="29"/>
        <v>33.3</v>
      </c>
      <c r="K130" s="1" t="s">
        <v>0</v>
      </c>
    </row>
    <row r="131" spans="1:11" x14ac:dyDescent="0.25">
      <c r="B131" s="1" t="s">
        <v>8</v>
      </c>
      <c r="D131" s="4">
        <v>400</v>
      </c>
      <c r="E131" s="1" t="s">
        <v>9</v>
      </c>
      <c r="F131" s="5">
        <f t="shared" si="27"/>
        <v>124.35233160621763</v>
      </c>
      <c r="G131" s="1" t="s">
        <v>10</v>
      </c>
      <c r="H131" s="2">
        <f t="shared" si="28"/>
        <v>2</v>
      </c>
      <c r="I131" s="1" t="s">
        <v>1</v>
      </c>
      <c r="J131" s="78" t="str">
        <f t="shared" si="29"/>
        <v>04.3</v>
      </c>
      <c r="K131" s="1" t="s">
        <v>0</v>
      </c>
    </row>
    <row r="132" spans="1:11" hidden="1" x14ac:dyDescent="0.25">
      <c r="B132" s="1" t="s">
        <v>8</v>
      </c>
      <c r="D132" s="4">
        <v>600</v>
      </c>
      <c r="E132" s="1" t="s">
        <v>9</v>
      </c>
      <c r="F132" s="5">
        <f t="shared" si="27"/>
        <v>186.52849740932643</v>
      </c>
      <c r="G132" s="1" t="s">
        <v>10</v>
      </c>
      <c r="H132" s="2">
        <f t="shared" si="28"/>
        <v>3</v>
      </c>
      <c r="I132" s="1" t="s">
        <v>1</v>
      </c>
      <c r="J132" s="78" t="str">
        <f t="shared" si="29"/>
        <v>06.5</v>
      </c>
      <c r="K132" s="1" t="s">
        <v>0</v>
      </c>
    </row>
    <row r="133" spans="1:11" hidden="1" x14ac:dyDescent="0.25">
      <c r="B133" s="1" t="s">
        <v>8</v>
      </c>
      <c r="D133" s="4">
        <v>800</v>
      </c>
      <c r="E133" s="1" t="s">
        <v>9</v>
      </c>
      <c r="F133" s="5">
        <f t="shared" si="27"/>
        <v>248.70466321243526</v>
      </c>
      <c r="G133" s="1" t="s">
        <v>10</v>
      </c>
      <c r="H133" s="2">
        <f t="shared" si="28"/>
        <v>4</v>
      </c>
      <c r="I133" s="1" t="s">
        <v>1</v>
      </c>
      <c r="J133" s="78" t="str">
        <f t="shared" si="29"/>
        <v>08.7</v>
      </c>
      <c r="K133" s="1" t="s">
        <v>0</v>
      </c>
    </row>
    <row r="134" spans="1:11" x14ac:dyDescent="0.25">
      <c r="B134" s="1" t="s">
        <v>8</v>
      </c>
      <c r="D134" s="4">
        <v>1000</v>
      </c>
      <c r="E134" s="1" t="s">
        <v>9</v>
      </c>
      <c r="F134" s="5">
        <f t="shared" si="27"/>
        <v>310.88082901554407</v>
      </c>
      <c r="G134" s="1" t="s">
        <v>10</v>
      </c>
      <c r="H134" s="2">
        <f t="shared" si="28"/>
        <v>5</v>
      </c>
      <c r="I134" s="1" t="s">
        <v>1</v>
      </c>
      <c r="J134" s="78" t="str">
        <f t="shared" si="29"/>
        <v>10.9</v>
      </c>
      <c r="K134" s="1" t="s">
        <v>0</v>
      </c>
    </row>
    <row r="135" spans="1:11" hidden="1" x14ac:dyDescent="0.25">
      <c r="B135" s="1" t="s">
        <v>8</v>
      </c>
      <c r="D135" s="4">
        <v>1200</v>
      </c>
      <c r="E135" s="1" t="s">
        <v>9</v>
      </c>
      <c r="F135" s="5">
        <f t="shared" si="27"/>
        <v>373.05699481865287</v>
      </c>
      <c r="G135" s="1" t="s">
        <v>10</v>
      </c>
      <c r="H135" s="2">
        <f t="shared" si="28"/>
        <v>6</v>
      </c>
      <c r="I135" s="1" t="s">
        <v>1</v>
      </c>
      <c r="J135" s="78" t="str">
        <f t="shared" si="29"/>
        <v>13.1</v>
      </c>
      <c r="K135" s="1" t="s">
        <v>0</v>
      </c>
    </row>
    <row r="136" spans="1:11" hidden="1" x14ac:dyDescent="0.25">
      <c r="B136" s="1" t="s">
        <v>8</v>
      </c>
      <c r="D136" s="4">
        <v>1600</v>
      </c>
      <c r="E136" s="1" t="s">
        <v>9</v>
      </c>
      <c r="F136" s="5">
        <f t="shared" si="27"/>
        <v>497.40932642487053</v>
      </c>
      <c r="G136" s="1" t="s">
        <v>10</v>
      </c>
      <c r="H136" s="2">
        <f t="shared" si="28"/>
        <v>8</v>
      </c>
      <c r="I136" s="1" t="s">
        <v>1</v>
      </c>
      <c r="J136" s="78" t="str">
        <f t="shared" si="29"/>
        <v>17.4</v>
      </c>
      <c r="K136" s="1" t="s">
        <v>0</v>
      </c>
    </row>
    <row r="137" spans="1:11" hidden="1" x14ac:dyDescent="0.25">
      <c r="B137" s="1" t="s">
        <v>8</v>
      </c>
      <c r="D137" s="4">
        <v>2000</v>
      </c>
      <c r="E137" s="1" t="s">
        <v>9</v>
      </c>
      <c r="F137" s="5">
        <f t="shared" si="27"/>
        <v>621.76165803108813</v>
      </c>
      <c r="G137" s="1" t="s">
        <v>10</v>
      </c>
      <c r="H137" s="2">
        <f t="shared" si="28"/>
        <v>10</v>
      </c>
      <c r="I137" s="1" t="s">
        <v>1</v>
      </c>
      <c r="J137" s="78" t="str">
        <f t="shared" si="29"/>
        <v>21.8</v>
      </c>
      <c r="K137" s="1" t="s">
        <v>0</v>
      </c>
    </row>
    <row r="138" spans="1:11" ht="8.25" customHeight="1" x14ac:dyDescent="0.25">
      <c r="D138" s="4"/>
      <c r="F138" s="5"/>
      <c r="H138" s="2"/>
      <c r="J138" s="78"/>
    </row>
    <row r="139" spans="1:11" x14ac:dyDescent="0.25">
      <c r="A139" s="7" t="s">
        <v>5</v>
      </c>
      <c r="B139" s="8">
        <v>70</v>
      </c>
      <c r="C139" s="9" t="s">
        <v>6</v>
      </c>
      <c r="D139" s="9"/>
      <c r="E139" s="9"/>
      <c r="F139" s="15">
        <f>$G$7*B139/100</f>
        <v>3.0022222222222221</v>
      </c>
      <c r="G139" s="9" t="s">
        <v>7</v>
      </c>
      <c r="H139" s="9"/>
      <c r="I139" s="56" t="s">
        <v>17</v>
      </c>
      <c r="J139" s="15">
        <f>F139/1000*60*60</f>
        <v>10.807999999999998</v>
      </c>
      <c r="K139" s="10" t="s">
        <v>70</v>
      </c>
    </row>
    <row r="140" spans="1:11" x14ac:dyDescent="0.25">
      <c r="B140" s="1" t="s">
        <v>8</v>
      </c>
      <c r="D140" s="4">
        <v>100</v>
      </c>
      <c r="E140" s="1" t="s">
        <v>9</v>
      </c>
      <c r="F140" s="5">
        <f>D140/F$139</f>
        <v>33.308660251665437</v>
      </c>
      <c r="G140" s="1" t="s">
        <v>10</v>
      </c>
      <c r="H140" s="2">
        <f>INT(F140/60)</f>
        <v>0</v>
      </c>
      <c r="I140" s="1" t="s">
        <v>1</v>
      </c>
      <c r="J140" s="78" t="str">
        <f>TEXT(MOD(ROUNDDOWN(F140,2),60),"00.0")</f>
        <v>33.3</v>
      </c>
      <c r="K140" s="1" t="s">
        <v>0</v>
      </c>
    </row>
    <row r="141" spans="1:11" hidden="1" x14ac:dyDescent="0.25">
      <c r="B141" s="1" t="s">
        <v>8</v>
      </c>
      <c r="D141" s="4">
        <v>200</v>
      </c>
      <c r="E141" s="1" t="s">
        <v>9</v>
      </c>
      <c r="F141" s="5">
        <f t="shared" ref="F141:F149" si="30">D141/F$139</f>
        <v>66.617320503330873</v>
      </c>
      <c r="G141" s="1" t="s">
        <v>10</v>
      </c>
      <c r="H141" s="2">
        <f t="shared" ref="H141:H149" si="31">INT(F141/60)</f>
        <v>1</v>
      </c>
      <c r="I141" s="1" t="s">
        <v>1</v>
      </c>
      <c r="J141" s="78" t="str">
        <f t="shared" ref="J141:J149" si="32">TEXT(MOD(ROUNDDOWN(F141,2),60),"00.0")</f>
        <v>06.6</v>
      </c>
      <c r="K141" s="1" t="s">
        <v>0</v>
      </c>
    </row>
    <row r="142" spans="1:11" hidden="1" x14ac:dyDescent="0.25">
      <c r="B142" s="1" t="s">
        <v>8</v>
      </c>
      <c r="D142" s="4">
        <v>300</v>
      </c>
      <c r="E142" s="1" t="s">
        <v>9</v>
      </c>
      <c r="F142" s="5">
        <f t="shared" si="30"/>
        <v>99.925980754996303</v>
      </c>
      <c r="G142" s="1" t="s">
        <v>10</v>
      </c>
      <c r="H142" s="2">
        <f t="shared" si="31"/>
        <v>1</v>
      </c>
      <c r="I142" s="1" t="s">
        <v>1</v>
      </c>
      <c r="J142" s="78" t="str">
        <f t="shared" si="32"/>
        <v>39.9</v>
      </c>
      <c r="K142" s="1" t="s">
        <v>0</v>
      </c>
    </row>
    <row r="143" spans="1:11" x14ac:dyDescent="0.25">
      <c r="B143" s="1" t="s">
        <v>8</v>
      </c>
      <c r="D143" s="4">
        <v>400</v>
      </c>
      <c r="E143" s="1" t="s">
        <v>9</v>
      </c>
      <c r="F143" s="5">
        <f t="shared" si="30"/>
        <v>133.23464100666175</v>
      </c>
      <c r="G143" s="1" t="s">
        <v>10</v>
      </c>
      <c r="H143" s="2">
        <f t="shared" si="31"/>
        <v>2</v>
      </c>
      <c r="I143" s="1" t="s">
        <v>1</v>
      </c>
      <c r="J143" s="78" t="str">
        <f t="shared" si="32"/>
        <v>13.2</v>
      </c>
      <c r="K143" s="1" t="s">
        <v>0</v>
      </c>
    </row>
    <row r="144" spans="1:11" hidden="1" x14ac:dyDescent="0.25">
      <c r="B144" s="1" t="s">
        <v>8</v>
      </c>
      <c r="D144" s="4">
        <v>600</v>
      </c>
      <c r="E144" s="1" t="s">
        <v>9</v>
      </c>
      <c r="F144" s="5">
        <f t="shared" si="30"/>
        <v>199.85196150999261</v>
      </c>
      <c r="G144" s="1" t="s">
        <v>10</v>
      </c>
      <c r="H144" s="2">
        <f t="shared" si="31"/>
        <v>3</v>
      </c>
      <c r="I144" s="1" t="s">
        <v>1</v>
      </c>
      <c r="J144" s="78" t="str">
        <f t="shared" si="32"/>
        <v>19.9</v>
      </c>
      <c r="K144" s="1" t="s">
        <v>0</v>
      </c>
    </row>
    <row r="145" spans="1:11" hidden="1" x14ac:dyDescent="0.25">
      <c r="B145" s="1" t="s">
        <v>8</v>
      </c>
      <c r="D145" s="4">
        <v>800</v>
      </c>
      <c r="E145" s="1" t="s">
        <v>9</v>
      </c>
      <c r="F145" s="5">
        <f t="shared" si="30"/>
        <v>266.46928201332349</v>
      </c>
      <c r="G145" s="1" t="s">
        <v>10</v>
      </c>
      <c r="H145" s="2">
        <f t="shared" si="31"/>
        <v>4</v>
      </c>
      <c r="I145" s="1" t="s">
        <v>1</v>
      </c>
      <c r="J145" s="78" t="str">
        <f t="shared" si="32"/>
        <v>26.5</v>
      </c>
      <c r="K145" s="1" t="s">
        <v>0</v>
      </c>
    </row>
    <row r="146" spans="1:11" x14ac:dyDescent="0.25">
      <c r="B146" s="1" t="s">
        <v>8</v>
      </c>
      <c r="D146" s="4">
        <v>1000</v>
      </c>
      <c r="E146" s="1" t="s">
        <v>9</v>
      </c>
      <c r="F146" s="5">
        <f t="shared" si="30"/>
        <v>333.08660251665435</v>
      </c>
      <c r="G146" s="1" t="s">
        <v>10</v>
      </c>
      <c r="H146" s="2">
        <f t="shared" si="31"/>
        <v>5</v>
      </c>
      <c r="I146" s="1" t="s">
        <v>1</v>
      </c>
      <c r="J146" s="78" t="str">
        <f t="shared" si="32"/>
        <v>33.1</v>
      </c>
      <c r="K146" s="1" t="s">
        <v>0</v>
      </c>
    </row>
    <row r="147" spans="1:11" hidden="1" x14ac:dyDescent="0.25">
      <c r="B147" s="1" t="s">
        <v>8</v>
      </c>
      <c r="D147" s="4">
        <v>1200</v>
      </c>
      <c r="E147" s="1" t="s">
        <v>9</v>
      </c>
      <c r="F147" s="5">
        <f t="shared" si="30"/>
        <v>399.70392301998521</v>
      </c>
      <c r="G147" s="1" t="s">
        <v>10</v>
      </c>
      <c r="H147" s="2">
        <f t="shared" si="31"/>
        <v>6</v>
      </c>
      <c r="I147" s="1" t="s">
        <v>1</v>
      </c>
      <c r="J147" s="78" t="str">
        <f t="shared" si="32"/>
        <v>39.7</v>
      </c>
      <c r="K147" s="1" t="s">
        <v>0</v>
      </c>
    </row>
    <row r="148" spans="1:11" hidden="1" x14ac:dyDescent="0.25">
      <c r="B148" s="1" t="s">
        <v>8</v>
      </c>
      <c r="D148" s="4">
        <v>1600</v>
      </c>
      <c r="E148" s="1" t="s">
        <v>9</v>
      </c>
      <c r="F148" s="5">
        <f t="shared" si="30"/>
        <v>532.93856402664699</v>
      </c>
      <c r="G148" s="1" t="s">
        <v>10</v>
      </c>
      <c r="H148" s="2">
        <f t="shared" si="31"/>
        <v>8</v>
      </c>
      <c r="I148" s="1" t="s">
        <v>1</v>
      </c>
      <c r="J148" s="78" t="str">
        <f t="shared" si="32"/>
        <v>52.9</v>
      </c>
      <c r="K148" s="1" t="s">
        <v>0</v>
      </c>
    </row>
    <row r="149" spans="1:11" hidden="1" x14ac:dyDescent="0.25">
      <c r="B149" s="1" t="s">
        <v>8</v>
      </c>
      <c r="D149" s="4">
        <v>2000</v>
      </c>
      <c r="E149" s="1" t="s">
        <v>9</v>
      </c>
      <c r="F149" s="5">
        <f t="shared" si="30"/>
        <v>666.1732050333087</v>
      </c>
      <c r="G149" s="1" t="s">
        <v>10</v>
      </c>
      <c r="H149" s="2">
        <f t="shared" si="31"/>
        <v>11</v>
      </c>
      <c r="I149" s="1" t="s">
        <v>1</v>
      </c>
      <c r="J149" s="78" t="str">
        <f t="shared" si="32"/>
        <v>06.2</v>
      </c>
      <c r="K149" s="1" t="s">
        <v>0</v>
      </c>
    </row>
    <row r="150" spans="1:11" ht="8.25" customHeight="1" x14ac:dyDescent="0.25">
      <c r="D150" s="4"/>
      <c r="F150" s="5"/>
      <c r="H150" s="2"/>
      <c r="J150" s="78"/>
    </row>
    <row r="151" spans="1:11" x14ac:dyDescent="0.25">
      <c r="A151" s="7" t="s">
        <v>5</v>
      </c>
      <c r="B151" s="8">
        <v>65</v>
      </c>
      <c r="C151" s="9" t="s">
        <v>6</v>
      </c>
      <c r="D151" s="9"/>
      <c r="E151" s="9"/>
      <c r="F151" s="15">
        <f>$G$7*B151/100</f>
        <v>2.7877777777777779</v>
      </c>
      <c r="G151" s="9" t="s">
        <v>7</v>
      </c>
      <c r="H151" s="9"/>
      <c r="I151" s="56" t="s">
        <v>17</v>
      </c>
      <c r="J151" s="15">
        <f>F151/1000*60*60</f>
        <v>10.036000000000001</v>
      </c>
      <c r="K151" s="10" t="s">
        <v>70</v>
      </c>
    </row>
    <row r="152" spans="1:11" x14ac:dyDescent="0.25">
      <c r="B152" s="1" t="s">
        <v>8</v>
      </c>
      <c r="D152" s="4">
        <v>100</v>
      </c>
      <c r="E152" s="1" t="s">
        <v>9</v>
      </c>
      <c r="F152" s="5">
        <f>D152/F$151</f>
        <v>35.870864886408924</v>
      </c>
      <c r="G152" s="1" t="s">
        <v>10</v>
      </c>
      <c r="H152" s="2">
        <f>INT(F152/60)</f>
        <v>0</v>
      </c>
      <c r="I152" s="1" t="s">
        <v>1</v>
      </c>
      <c r="J152" s="78" t="str">
        <f>TEXT(MOD(ROUNDDOWN(F152,2),60),"00.0")</f>
        <v>35.9</v>
      </c>
      <c r="K152" s="1" t="s">
        <v>0</v>
      </c>
    </row>
    <row r="153" spans="1:11" hidden="1" x14ac:dyDescent="0.25">
      <c r="B153" s="1" t="s">
        <v>8</v>
      </c>
      <c r="D153" s="4">
        <v>200</v>
      </c>
      <c r="E153" s="1" t="s">
        <v>9</v>
      </c>
      <c r="F153" s="5">
        <f t="shared" ref="F153:F161" si="33">D153/F$151</f>
        <v>71.741729772817848</v>
      </c>
      <c r="G153" s="1" t="s">
        <v>10</v>
      </c>
      <c r="H153" s="2">
        <f t="shared" ref="H153:H161" si="34">INT(F153/60)</f>
        <v>1</v>
      </c>
      <c r="I153" s="1" t="s">
        <v>1</v>
      </c>
      <c r="J153" s="78" t="str">
        <f t="shared" ref="J153:J161" si="35">TEXT(MOD(ROUNDDOWN(F153,2),60),"00.0")</f>
        <v>11.7</v>
      </c>
      <c r="K153" s="1" t="s">
        <v>0</v>
      </c>
    </row>
    <row r="154" spans="1:11" hidden="1" x14ac:dyDescent="0.25">
      <c r="B154" s="1" t="s">
        <v>8</v>
      </c>
      <c r="D154" s="4">
        <v>300</v>
      </c>
      <c r="E154" s="1" t="s">
        <v>9</v>
      </c>
      <c r="F154" s="5">
        <f t="shared" si="33"/>
        <v>107.61259465922677</v>
      </c>
      <c r="G154" s="1" t="s">
        <v>10</v>
      </c>
      <c r="H154" s="2">
        <f t="shared" si="34"/>
        <v>1</v>
      </c>
      <c r="I154" s="1" t="s">
        <v>1</v>
      </c>
      <c r="J154" s="78" t="str">
        <f t="shared" si="35"/>
        <v>47.6</v>
      </c>
      <c r="K154" s="1" t="s">
        <v>0</v>
      </c>
    </row>
    <row r="155" spans="1:11" x14ac:dyDescent="0.25">
      <c r="B155" s="1" t="s">
        <v>8</v>
      </c>
      <c r="D155" s="4">
        <v>400</v>
      </c>
      <c r="E155" s="1" t="s">
        <v>9</v>
      </c>
      <c r="F155" s="5">
        <f t="shared" si="33"/>
        <v>143.4834595456357</v>
      </c>
      <c r="G155" s="1" t="s">
        <v>10</v>
      </c>
      <c r="H155" s="2">
        <f t="shared" si="34"/>
        <v>2</v>
      </c>
      <c r="I155" s="1" t="s">
        <v>1</v>
      </c>
      <c r="J155" s="78" t="str">
        <f t="shared" si="35"/>
        <v>23.5</v>
      </c>
      <c r="K155" s="1" t="s">
        <v>0</v>
      </c>
    </row>
    <row r="156" spans="1:11" hidden="1" x14ac:dyDescent="0.25">
      <c r="B156" s="1" t="s">
        <v>8</v>
      </c>
      <c r="D156" s="4">
        <v>600</v>
      </c>
      <c r="E156" s="1" t="s">
        <v>9</v>
      </c>
      <c r="F156" s="5">
        <f t="shared" si="33"/>
        <v>215.22518931845354</v>
      </c>
      <c r="G156" s="1" t="s">
        <v>10</v>
      </c>
      <c r="H156" s="2">
        <f t="shared" si="34"/>
        <v>3</v>
      </c>
      <c r="I156" s="1" t="s">
        <v>1</v>
      </c>
      <c r="J156" s="78" t="str">
        <f t="shared" si="35"/>
        <v>35.2</v>
      </c>
      <c r="K156" s="1" t="s">
        <v>0</v>
      </c>
    </row>
    <row r="157" spans="1:11" hidden="1" x14ac:dyDescent="0.25">
      <c r="B157" s="1" t="s">
        <v>8</v>
      </c>
      <c r="D157" s="4">
        <v>800</v>
      </c>
      <c r="E157" s="1" t="s">
        <v>9</v>
      </c>
      <c r="F157" s="5">
        <f t="shared" si="33"/>
        <v>286.96691909127139</v>
      </c>
      <c r="G157" s="1" t="s">
        <v>10</v>
      </c>
      <c r="H157" s="2">
        <f t="shared" si="34"/>
        <v>4</v>
      </c>
      <c r="I157" s="1" t="s">
        <v>1</v>
      </c>
      <c r="J157" s="78" t="str">
        <f t="shared" si="35"/>
        <v>47.0</v>
      </c>
      <c r="K157" s="1" t="s">
        <v>0</v>
      </c>
    </row>
    <row r="158" spans="1:11" x14ac:dyDescent="0.25">
      <c r="B158" s="1" t="s">
        <v>8</v>
      </c>
      <c r="D158" s="4">
        <v>1000</v>
      </c>
      <c r="E158" s="1" t="s">
        <v>9</v>
      </c>
      <c r="F158" s="5">
        <f t="shared" si="33"/>
        <v>358.70864886408924</v>
      </c>
      <c r="G158" s="1" t="s">
        <v>10</v>
      </c>
      <c r="H158" s="2">
        <f t="shared" si="34"/>
        <v>5</v>
      </c>
      <c r="I158" s="1" t="s">
        <v>1</v>
      </c>
      <c r="J158" s="78" t="str">
        <f t="shared" si="35"/>
        <v>58.7</v>
      </c>
      <c r="K158" s="1" t="s">
        <v>0</v>
      </c>
    </row>
    <row r="159" spans="1:11" hidden="1" x14ac:dyDescent="0.25">
      <c r="B159" s="1" t="s">
        <v>8</v>
      </c>
      <c r="D159" s="4">
        <v>1200</v>
      </c>
      <c r="E159" s="1" t="s">
        <v>9</v>
      </c>
      <c r="F159" s="5">
        <f t="shared" si="33"/>
        <v>430.45037863690709</v>
      </c>
      <c r="G159" s="1" t="s">
        <v>10</v>
      </c>
      <c r="H159" s="2">
        <f t="shared" si="34"/>
        <v>7</v>
      </c>
      <c r="I159" s="1" t="s">
        <v>1</v>
      </c>
      <c r="J159" s="78" t="str">
        <f t="shared" si="35"/>
        <v>10.5</v>
      </c>
      <c r="K159" s="1" t="s">
        <v>0</v>
      </c>
    </row>
    <row r="160" spans="1:11" hidden="1" x14ac:dyDescent="0.25">
      <c r="B160" s="1" t="s">
        <v>8</v>
      </c>
      <c r="D160" s="4">
        <v>1600</v>
      </c>
      <c r="E160" s="1" t="s">
        <v>9</v>
      </c>
      <c r="F160" s="5">
        <f t="shared" si="33"/>
        <v>573.93383818254279</v>
      </c>
      <c r="G160" s="1" t="s">
        <v>10</v>
      </c>
      <c r="H160" s="2">
        <f t="shared" si="34"/>
        <v>9</v>
      </c>
      <c r="I160" s="1" t="s">
        <v>1</v>
      </c>
      <c r="J160" s="78" t="str">
        <f t="shared" si="35"/>
        <v>33.9</v>
      </c>
      <c r="K160" s="1" t="s">
        <v>0</v>
      </c>
    </row>
    <row r="161" spans="1:11" hidden="1" x14ac:dyDescent="0.25">
      <c r="B161" s="1" t="s">
        <v>8</v>
      </c>
      <c r="D161" s="4">
        <v>2000</v>
      </c>
      <c r="E161" s="1" t="s">
        <v>9</v>
      </c>
      <c r="F161" s="5">
        <f t="shared" si="33"/>
        <v>717.41729772817848</v>
      </c>
      <c r="G161" s="1" t="s">
        <v>10</v>
      </c>
      <c r="H161" s="2">
        <f t="shared" si="34"/>
        <v>11</v>
      </c>
      <c r="I161" s="1" t="s">
        <v>1</v>
      </c>
      <c r="J161" s="78" t="str">
        <f t="shared" si="35"/>
        <v>57.4</v>
      </c>
      <c r="K161" s="1" t="s">
        <v>0</v>
      </c>
    </row>
    <row r="162" spans="1:11" ht="8.25" customHeight="1" x14ac:dyDescent="0.25">
      <c r="D162" s="4"/>
      <c r="F162" s="5"/>
      <c r="H162" s="2"/>
      <c r="J162" s="78"/>
    </row>
    <row r="163" spans="1:11" x14ac:dyDescent="0.25">
      <c r="A163" s="7" t="s">
        <v>5</v>
      </c>
      <c r="B163" s="8">
        <v>60</v>
      </c>
      <c r="C163" s="9" t="s">
        <v>6</v>
      </c>
      <c r="D163" s="9"/>
      <c r="E163" s="9"/>
      <c r="F163" s="15">
        <f>$G$7*B163/100</f>
        <v>2.5733333333333333</v>
      </c>
      <c r="G163" s="9" t="s">
        <v>7</v>
      </c>
      <c r="H163" s="9"/>
      <c r="I163" s="56" t="s">
        <v>17</v>
      </c>
      <c r="J163" s="15">
        <f>F163/1000*60*60</f>
        <v>9.2640000000000011</v>
      </c>
      <c r="K163" s="10" t="s">
        <v>70</v>
      </c>
    </row>
    <row r="164" spans="1:11" x14ac:dyDescent="0.25">
      <c r="B164" s="1" t="s">
        <v>8</v>
      </c>
      <c r="D164" s="4">
        <v>100</v>
      </c>
      <c r="E164" s="1" t="s">
        <v>9</v>
      </c>
      <c r="F164" s="5">
        <f>D164/F$163</f>
        <v>38.860103626943008</v>
      </c>
      <c r="G164" s="1" t="s">
        <v>10</v>
      </c>
      <c r="H164" s="2">
        <f>INT(F164/60)</f>
        <v>0</v>
      </c>
      <c r="I164" s="1" t="s">
        <v>1</v>
      </c>
      <c r="J164" s="78" t="str">
        <f>TEXT(MOD(ROUNDDOWN(F164,2),60),"00.0")</f>
        <v>38.9</v>
      </c>
      <c r="K164" s="1" t="s">
        <v>0</v>
      </c>
    </row>
    <row r="165" spans="1:11" hidden="1" x14ac:dyDescent="0.25">
      <c r="B165" s="1" t="s">
        <v>8</v>
      </c>
      <c r="D165" s="4">
        <v>200</v>
      </c>
      <c r="E165" s="1" t="s">
        <v>9</v>
      </c>
      <c r="F165" s="5">
        <f t="shared" ref="F165:F173" si="36">D165/F$163</f>
        <v>77.720207253886016</v>
      </c>
      <c r="G165" s="1" t="s">
        <v>10</v>
      </c>
      <c r="H165" s="2">
        <f t="shared" ref="H165:H173" si="37">INT(F165/60)</f>
        <v>1</v>
      </c>
      <c r="I165" s="1" t="s">
        <v>1</v>
      </c>
      <c r="J165" s="78" t="str">
        <f t="shared" ref="J165:J173" si="38">TEXT(MOD(ROUNDDOWN(F165,2),60),"00.0")</f>
        <v>17.7</v>
      </c>
      <c r="K165" s="1" t="s">
        <v>0</v>
      </c>
    </row>
    <row r="166" spans="1:11" hidden="1" x14ac:dyDescent="0.25">
      <c r="B166" s="1" t="s">
        <v>8</v>
      </c>
      <c r="D166" s="4">
        <v>300</v>
      </c>
      <c r="E166" s="1" t="s">
        <v>9</v>
      </c>
      <c r="F166" s="5">
        <f t="shared" si="36"/>
        <v>116.58031088082902</v>
      </c>
      <c r="G166" s="1" t="s">
        <v>10</v>
      </c>
      <c r="H166" s="2">
        <f t="shared" si="37"/>
        <v>1</v>
      </c>
      <c r="I166" s="1" t="s">
        <v>1</v>
      </c>
      <c r="J166" s="78" t="str">
        <f t="shared" si="38"/>
        <v>56.6</v>
      </c>
      <c r="K166" s="1" t="s">
        <v>0</v>
      </c>
    </row>
    <row r="167" spans="1:11" x14ac:dyDescent="0.25">
      <c r="B167" s="1" t="s">
        <v>8</v>
      </c>
      <c r="D167" s="4">
        <v>400</v>
      </c>
      <c r="E167" s="1" t="s">
        <v>9</v>
      </c>
      <c r="F167" s="5">
        <f t="shared" si="36"/>
        <v>155.44041450777203</v>
      </c>
      <c r="G167" s="1" t="s">
        <v>10</v>
      </c>
      <c r="H167" s="2">
        <f t="shared" si="37"/>
        <v>2</v>
      </c>
      <c r="I167" s="1" t="s">
        <v>1</v>
      </c>
      <c r="J167" s="78" t="str">
        <f t="shared" si="38"/>
        <v>35.4</v>
      </c>
      <c r="K167" s="1" t="s">
        <v>0</v>
      </c>
    </row>
    <row r="168" spans="1:11" hidden="1" x14ac:dyDescent="0.25">
      <c r="B168" s="1" t="s">
        <v>8</v>
      </c>
      <c r="D168" s="4">
        <v>600</v>
      </c>
      <c r="E168" s="1" t="s">
        <v>9</v>
      </c>
      <c r="F168" s="5">
        <f t="shared" si="36"/>
        <v>233.16062176165804</v>
      </c>
      <c r="G168" s="1" t="s">
        <v>10</v>
      </c>
      <c r="H168" s="2">
        <f t="shared" si="37"/>
        <v>3</v>
      </c>
      <c r="I168" s="1" t="s">
        <v>1</v>
      </c>
      <c r="J168" s="78" t="str">
        <f t="shared" si="38"/>
        <v>53.2</v>
      </c>
      <c r="K168" s="1" t="s">
        <v>0</v>
      </c>
    </row>
    <row r="169" spans="1:11" hidden="1" x14ac:dyDescent="0.25">
      <c r="B169" s="1" t="s">
        <v>8</v>
      </c>
      <c r="D169" s="4">
        <v>800</v>
      </c>
      <c r="E169" s="1" t="s">
        <v>9</v>
      </c>
      <c r="F169" s="5">
        <f t="shared" si="36"/>
        <v>310.88082901554407</v>
      </c>
      <c r="G169" s="1" t="s">
        <v>10</v>
      </c>
      <c r="H169" s="2">
        <f t="shared" si="37"/>
        <v>5</v>
      </c>
      <c r="I169" s="1" t="s">
        <v>1</v>
      </c>
      <c r="J169" s="78" t="str">
        <f t="shared" si="38"/>
        <v>10.9</v>
      </c>
      <c r="K169" s="1" t="s">
        <v>0</v>
      </c>
    </row>
    <row r="170" spans="1:11" x14ac:dyDescent="0.25">
      <c r="B170" s="1" t="s">
        <v>8</v>
      </c>
      <c r="D170" s="4">
        <v>1000</v>
      </c>
      <c r="E170" s="1" t="s">
        <v>9</v>
      </c>
      <c r="F170" s="5">
        <f t="shared" si="36"/>
        <v>388.60103626943004</v>
      </c>
      <c r="G170" s="1" t="s">
        <v>10</v>
      </c>
      <c r="H170" s="2">
        <f t="shared" si="37"/>
        <v>6</v>
      </c>
      <c r="I170" s="1" t="s">
        <v>1</v>
      </c>
      <c r="J170" s="78" t="str">
        <f t="shared" si="38"/>
        <v>28.6</v>
      </c>
      <c r="K170" s="1" t="s">
        <v>0</v>
      </c>
    </row>
    <row r="171" spans="1:11" hidden="1" x14ac:dyDescent="0.25">
      <c r="B171" s="1" t="s">
        <v>8</v>
      </c>
      <c r="D171" s="4">
        <v>1200</v>
      </c>
      <c r="E171" s="1" t="s">
        <v>9</v>
      </c>
      <c r="F171" s="5">
        <f t="shared" si="36"/>
        <v>466.32124352331607</v>
      </c>
      <c r="G171" s="1" t="s">
        <v>10</v>
      </c>
      <c r="H171" s="2">
        <f t="shared" si="37"/>
        <v>7</v>
      </c>
      <c r="I171" s="1" t="s">
        <v>1</v>
      </c>
      <c r="J171" s="78" t="str">
        <f t="shared" si="38"/>
        <v>46.3</v>
      </c>
      <c r="K171" s="1" t="s">
        <v>0</v>
      </c>
    </row>
    <row r="172" spans="1:11" hidden="1" x14ac:dyDescent="0.25">
      <c r="B172" s="1" t="s">
        <v>8</v>
      </c>
      <c r="D172" s="4">
        <v>1600</v>
      </c>
      <c r="E172" s="1" t="s">
        <v>9</v>
      </c>
      <c r="F172" s="5">
        <f t="shared" si="36"/>
        <v>621.76165803108813</v>
      </c>
      <c r="G172" s="1" t="s">
        <v>10</v>
      </c>
      <c r="H172" s="2">
        <f t="shared" si="37"/>
        <v>10</v>
      </c>
      <c r="I172" s="1" t="s">
        <v>1</v>
      </c>
      <c r="J172" s="78" t="str">
        <f t="shared" si="38"/>
        <v>21.8</v>
      </c>
      <c r="K172" s="1" t="s">
        <v>0</v>
      </c>
    </row>
    <row r="173" spans="1:11" hidden="1" x14ac:dyDescent="0.25">
      <c r="B173" s="1" t="s">
        <v>8</v>
      </c>
      <c r="D173" s="4">
        <v>2000</v>
      </c>
      <c r="E173" s="1" t="s">
        <v>9</v>
      </c>
      <c r="F173" s="5">
        <f t="shared" si="36"/>
        <v>777.20207253886008</v>
      </c>
      <c r="G173" s="1" t="s">
        <v>10</v>
      </c>
      <c r="H173" s="2">
        <f t="shared" si="37"/>
        <v>12</v>
      </c>
      <c r="I173" s="1" t="s">
        <v>1</v>
      </c>
      <c r="J173" s="78" t="str">
        <f t="shared" si="38"/>
        <v>57.2</v>
      </c>
      <c r="K173" s="1" t="s">
        <v>0</v>
      </c>
    </row>
    <row r="174" spans="1:11" ht="8.25" customHeight="1" x14ac:dyDescent="0.25">
      <c r="J174" s="78"/>
    </row>
    <row r="176" spans="1:11" ht="26.25" x14ac:dyDescent="0.25">
      <c r="A176" s="99" t="s">
        <v>75</v>
      </c>
      <c r="B176" s="100"/>
      <c r="C176" s="100"/>
      <c r="D176" s="100"/>
      <c r="E176" s="100"/>
      <c r="F176" s="100"/>
      <c r="G176" s="100"/>
      <c r="H176" s="100"/>
      <c r="I176" s="100"/>
      <c r="J176" s="100"/>
      <c r="K176" s="101"/>
    </row>
    <row r="177" spans="1:12" ht="8.25" customHeight="1" x14ac:dyDescent="0.25"/>
    <row r="178" spans="1:12" x14ac:dyDescent="0.25">
      <c r="A178" s="66" t="s">
        <v>76</v>
      </c>
    </row>
    <row r="179" spans="1:12" x14ac:dyDescent="0.25">
      <c r="A179" s="3" t="s">
        <v>77</v>
      </c>
      <c r="B179" s="1" t="s">
        <v>236</v>
      </c>
      <c r="F179" s="75">
        <f>ROUND($G$16,2)</f>
        <v>72.930000000000007</v>
      </c>
      <c r="G179" s="1" t="s">
        <v>81</v>
      </c>
      <c r="J179" s="67"/>
    </row>
    <row r="180" spans="1:12" x14ac:dyDescent="0.25">
      <c r="A180" s="3"/>
      <c r="B180" s="1" t="s">
        <v>239</v>
      </c>
      <c r="D180" s="68"/>
      <c r="E180" s="68"/>
      <c r="G180" s="6"/>
      <c r="H180" s="68"/>
      <c r="I180" s="68"/>
      <c r="L180" s="89"/>
    </row>
    <row r="181" spans="1:12" x14ac:dyDescent="0.25">
      <c r="C181" s="68" t="str">
        <f>CONCATENATE(INT((1000/($G$7*$G$16/100))/60)," min ",TEXT(MOD(ROUNDDOWN(1000/($G$7*$G$16/100),0),60),"00")," s")</f>
        <v>5 min 19 s</v>
      </c>
      <c r="D181" s="69" t="s">
        <v>80</v>
      </c>
      <c r="E181" s="68"/>
      <c r="F181" s="68" t="str">
        <f>CONCATENATE(INT((400/($G$7*$G$16/100))/60)," min ",TEXT(MOD(ROUNDDOWN(400/($G$7*$G$16/100),0),60),"00")," s")</f>
        <v>2 min 07 s</v>
      </c>
      <c r="G181" s="1" t="s">
        <v>79</v>
      </c>
      <c r="H181" s="68"/>
      <c r="I181" s="68"/>
    </row>
    <row r="182" spans="1:12" x14ac:dyDescent="0.25">
      <c r="A182" s="3" t="s">
        <v>77</v>
      </c>
      <c r="B182" s="4" t="s">
        <v>84</v>
      </c>
      <c r="C182" s="68"/>
      <c r="D182" s="69"/>
      <c r="E182" s="68"/>
      <c r="F182" s="68"/>
      <c r="H182" s="68"/>
      <c r="I182" s="68"/>
    </row>
    <row r="183" spans="1:12" x14ac:dyDescent="0.25">
      <c r="C183" s="68" t="str">
        <f>CONCATENATE(INT((1000/($G$7*I183/100))/60)," min ",TEXT(MOD(ROUNDDOWN(1000/($G$7*I183/100),0),60),"00")," s")</f>
        <v>5 min 33 s</v>
      </c>
      <c r="D183" s="69" t="s">
        <v>80</v>
      </c>
      <c r="E183" s="68"/>
      <c r="F183" s="68" t="str">
        <f>CONCATENATE(INT((400/($G$7*I183/100))/60)," min ",TEXT(MOD(ROUNDDOWN(400/($G$7*I183/100),0),60),"00")," s")</f>
        <v>2 min 13 s</v>
      </c>
      <c r="G183" s="1" t="s">
        <v>79</v>
      </c>
      <c r="H183" s="68"/>
      <c r="I183" s="90">
        <f>ROUNDDOWN($G$16,-1)</f>
        <v>70</v>
      </c>
      <c r="J183" s="1" t="s">
        <v>81</v>
      </c>
    </row>
    <row r="184" spans="1:12" x14ac:dyDescent="0.25">
      <c r="C184" s="68" t="str">
        <f>CONCATENATE(INT((1000/($G$7*I184/100))/60)," min ",TEXT(MOD(ROUNDDOWN(1000/($G$7*I184/100),0),60),"00")," s")</f>
        <v>5 min 58 s</v>
      </c>
      <c r="D184" s="69" t="s">
        <v>80</v>
      </c>
      <c r="E184" s="68"/>
      <c r="F184" s="68" t="str">
        <f>CONCATENATE(INT((400/($G$7*I184/100))/60)," min ",TEXT(MOD(ROUNDDOWN(400/($G$7*I184/100),0),60),"00")," s")</f>
        <v>2 min 23 s</v>
      </c>
      <c r="G184" s="1" t="s">
        <v>79</v>
      </c>
      <c r="H184" s="68"/>
      <c r="I184" s="75">
        <f>ROUNDDOWN($G$16,-1)-5</f>
        <v>65</v>
      </c>
      <c r="J184" s="1" t="s">
        <v>81</v>
      </c>
    </row>
    <row r="185" spans="1:12" x14ac:dyDescent="0.25">
      <c r="C185" s="68" t="str">
        <f>CONCATENATE(INT((1000/($G$7*I185/100))/60)," min ",TEXT(MOD(ROUNDDOWN(1000/($G$7*I185/100),0),60),"00")," s")</f>
        <v>6 min 28 s</v>
      </c>
      <c r="D185" s="69" t="s">
        <v>80</v>
      </c>
      <c r="E185" s="68"/>
      <c r="F185" s="68" t="str">
        <f>CONCATENATE(INT((400/($G$7*I185/100))/60)," min ",TEXT(MOD(ROUNDDOWN(400/($G$7*I185/100),0),60),"00")," s")</f>
        <v>2 min 35 s</v>
      </c>
      <c r="G185" s="1" t="s">
        <v>79</v>
      </c>
      <c r="H185" s="68"/>
      <c r="I185" s="75">
        <f>ROUNDDOWN($G$16,-1)-10</f>
        <v>60</v>
      </c>
      <c r="J185" s="1" t="s">
        <v>81</v>
      </c>
    </row>
    <row r="186" spans="1:12" x14ac:dyDescent="0.25">
      <c r="C186" s="68" t="str">
        <f>CONCATENATE(INT((1000/($G$7*I186/100))/60)," min ",TEXT(MOD(ROUNDDOWN(1000/($G$7*I186/100),0),60),"00")," s")</f>
        <v>7 min 03 s</v>
      </c>
      <c r="D186" s="69" t="s">
        <v>80</v>
      </c>
      <c r="E186" s="68"/>
      <c r="F186" s="68" t="str">
        <f>CONCATENATE(INT((400/($G$7*I186/100))/60)," min ",TEXT(MOD(ROUNDDOWN(400/($G$7*I186/100),0),60),"00")," s")</f>
        <v>2 min 49 s</v>
      </c>
      <c r="G186" s="1" t="s">
        <v>79</v>
      </c>
      <c r="H186" s="68"/>
      <c r="I186" s="75">
        <f>ROUNDDOWN($G$16,-1)-15</f>
        <v>55</v>
      </c>
      <c r="J186" s="1" t="s">
        <v>81</v>
      </c>
    </row>
    <row r="187" spans="1:12" ht="8.25" customHeight="1" x14ac:dyDescent="0.25"/>
    <row r="188" spans="1:12" x14ac:dyDescent="0.25">
      <c r="A188" s="66" t="s">
        <v>78</v>
      </c>
    </row>
    <row r="189" spans="1:12" x14ac:dyDescent="0.25">
      <c r="A189" s="3" t="s">
        <v>77</v>
      </c>
      <c r="B189" s="1" t="s">
        <v>238</v>
      </c>
      <c r="G189" s="75"/>
    </row>
    <row r="190" spans="1:12" x14ac:dyDescent="0.25">
      <c r="A190" s="3" t="s">
        <v>77</v>
      </c>
      <c r="B190" s="4" t="s">
        <v>84</v>
      </c>
    </row>
    <row r="191" spans="1:12" x14ac:dyDescent="0.25">
      <c r="A191" s="3"/>
      <c r="B191" s="1" t="s">
        <v>85</v>
      </c>
      <c r="D191" s="75">
        <f>ROUND($G$16,2)-2.5</f>
        <v>70.430000000000007</v>
      </c>
      <c r="E191" s="1" t="s">
        <v>81</v>
      </c>
    </row>
    <row r="192" spans="1:12" x14ac:dyDescent="0.25">
      <c r="C192" s="68" t="str">
        <f>CONCATENATE(INT((1000/($G$7*D191/100))/60)," min ",TEXT(MOD(ROUNDDOWN(1000/($G$7*D191/100),0),60),"00")," s")</f>
        <v>5 min 31 s</v>
      </c>
      <c r="D192" s="1" t="s">
        <v>80</v>
      </c>
      <c r="F192" s="68" t="str">
        <f>CONCATENATE(INT((400/($G$7*D191/100))/60)," min ",TEXT(MOD(ROUNDDOWN(400/($G$7*D191/100),0),60),"00")," s")</f>
        <v>2 min 12 s</v>
      </c>
      <c r="G192" s="1" t="s">
        <v>79</v>
      </c>
    </row>
    <row r="193" spans="1:8" x14ac:dyDescent="0.25">
      <c r="B193" s="1" t="s">
        <v>82</v>
      </c>
      <c r="D193" s="75">
        <f>ROUND($G$16,2)-5</f>
        <v>67.930000000000007</v>
      </c>
      <c r="E193" s="1" t="s">
        <v>81</v>
      </c>
    </row>
    <row r="194" spans="1:8" x14ac:dyDescent="0.25">
      <c r="C194" s="68" t="str">
        <f>CONCATENATE(INT((1000/($G$7*D193/100))/60)," min ",TEXT(MOD(ROUNDDOWN(1000/($G$7*D193/100),0),60),"00")," s")</f>
        <v>5 min 43 s</v>
      </c>
      <c r="D194" s="1" t="s">
        <v>80</v>
      </c>
      <c r="F194" s="68" t="str">
        <f>CONCATENATE(INT((400/($G$7*D193/100))/60)," min ",TEXT(MOD(ROUNDDOWN(400/($G$7*D193/100),0),60),"00")," s")</f>
        <v>2 min 17 s</v>
      </c>
      <c r="G194" s="1" t="s">
        <v>79</v>
      </c>
    </row>
    <row r="195" spans="1:8" x14ac:dyDescent="0.25">
      <c r="B195" s="1" t="s">
        <v>86</v>
      </c>
      <c r="D195" s="75">
        <f>ROUND($G$16,2)-7.5</f>
        <v>65.430000000000007</v>
      </c>
      <c r="E195" s="1" t="s">
        <v>81</v>
      </c>
    </row>
    <row r="196" spans="1:8" x14ac:dyDescent="0.25">
      <c r="C196" s="68" t="str">
        <f>CONCATENATE(INT((1000/($G$7*D195/100))/60)," min ",TEXT(MOD(ROUNDDOWN(1000/($G$7*D195/100),0),60),"00")," s")</f>
        <v>5 min 56 s</v>
      </c>
      <c r="D196" s="1" t="s">
        <v>80</v>
      </c>
      <c r="F196" s="68" t="str">
        <f>CONCATENATE(INT((400/($G$7*D195/100))/60)," min ",TEXT(MOD(ROUNDDOWN(400/($G$7*D195/100),0),60),"00")," s")</f>
        <v>2 min 22 s</v>
      </c>
      <c r="G196" s="1" t="s">
        <v>79</v>
      </c>
    </row>
    <row r="197" spans="1:8" x14ac:dyDescent="0.25">
      <c r="B197" s="1" t="s">
        <v>83</v>
      </c>
      <c r="D197" s="75">
        <f>ROUND($G$16,2)-10</f>
        <v>62.930000000000007</v>
      </c>
      <c r="E197" s="1" t="s">
        <v>81</v>
      </c>
    </row>
    <row r="198" spans="1:8" x14ac:dyDescent="0.25">
      <c r="C198" s="68" t="str">
        <f>CONCATENATE(INT((1000/($G$7*D197/100))/60)," min ",TEXT(MOD(ROUNDDOWN(1000/($G$7*D197/100),0),60),"00")," s")</f>
        <v>6 min 10 s</v>
      </c>
      <c r="D198" s="1" t="s">
        <v>80</v>
      </c>
      <c r="F198" s="68" t="str">
        <f>CONCATENATE(INT((400/($G$7*D197/100))/60)," min ",TEXT(MOD(ROUNDDOWN(400/($G$7*D197/100),0),60),"00")," s")</f>
        <v>2 min 28 s</v>
      </c>
      <c r="G198" s="1" t="s">
        <v>79</v>
      </c>
    </row>
    <row r="199" spans="1:8" ht="8.25" customHeight="1" x14ac:dyDescent="0.25"/>
    <row r="200" spans="1:8" x14ac:dyDescent="0.25">
      <c r="A200" s="66" t="s">
        <v>87</v>
      </c>
    </row>
    <row r="201" spans="1:8" x14ac:dyDescent="0.25">
      <c r="A201" s="3" t="s">
        <v>77</v>
      </c>
      <c r="B201" s="1" t="s">
        <v>88</v>
      </c>
      <c r="H201" s="75"/>
    </row>
    <row r="202" spans="1:8" x14ac:dyDescent="0.25">
      <c r="A202" s="3" t="s">
        <v>77</v>
      </c>
      <c r="B202" s="4" t="s">
        <v>84</v>
      </c>
    </row>
    <row r="203" spans="1:8" x14ac:dyDescent="0.25">
      <c r="B203" s="1" t="s">
        <v>225</v>
      </c>
      <c r="D203" s="75">
        <f>ROUND($G$16,2)</f>
        <v>72.930000000000007</v>
      </c>
      <c r="E203" s="1" t="s">
        <v>81</v>
      </c>
    </row>
    <row r="204" spans="1:8" x14ac:dyDescent="0.25">
      <c r="C204" s="68" t="str">
        <f>CONCATENATE(INT((1000/($G$7*D203/100))/60)," min ",TEXT(MOD(ROUNDDOWN(1000/($G$7*D203/100),0),60),"00")," s")</f>
        <v>5 min 19 s</v>
      </c>
      <c r="D204" s="69" t="s">
        <v>80</v>
      </c>
      <c r="E204" s="68"/>
      <c r="F204" s="68" t="str">
        <f>CONCATENATE(INT((400/($G$7*D203/100))/60)," min ",TEXT(MOD(ROUNDDOWN(400/($G$7*D203/100),0),60),"00")," s")</f>
        <v>2 min 07 s</v>
      </c>
      <c r="G204" s="1" t="s">
        <v>79</v>
      </c>
    </row>
    <row r="205" spans="1:8" x14ac:dyDescent="0.25">
      <c r="B205" s="1" t="s">
        <v>89</v>
      </c>
      <c r="D205" s="75">
        <f>ROUND($G$16,2)+2.5</f>
        <v>75.430000000000007</v>
      </c>
      <c r="E205" s="1" t="s">
        <v>81</v>
      </c>
    </row>
    <row r="206" spans="1:8" x14ac:dyDescent="0.25">
      <c r="C206" s="68" t="str">
        <f>CONCATENATE(INT((1000/($G$7*D205/100))/60)," min ",TEXT(MOD(ROUNDDOWN(1000/($G$7*D205/100),0),60),"00")," s")</f>
        <v>5 min 09 s</v>
      </c>
      <c r="D206" s="1" t="s">
        <v>80</v>
      </c>
      <c r="F206" s="68" t="str">
        <f>CONCATENATE(INT((400/($G$7*D205/100))/60)," min ",TEXT(MOD(ROUNDDOWN(400/($G$7*D205/100),0),60),"00")," s")</f>
        <v>2 min 03 s</v>
      </c>
      <c r="G206" s="1" t="s">
        <v>79</v>
      </c>
    </row>
    <row r="207" spans="1:8" x14ac:dyDescent="0.25">
      <c r="B207" s="1" t="s">
        <v>90</v>
      </c>
      <c r="D207" s="75">
        <f>ROUND($G$16,2)+5</f>
        <v>77.930000000000007</v>
      </c>
      <c r="E207" s="1" t="s">
        <v>81</v>
      </c>
    </row>
    <row r="208" spans="1:8" x14ac:dyDescent="0.25">
      <c r="C208" s="68" t="str">
        <f>CONCATENATE(INT((1000/($G$7*D207/100))/60)," min ",TEXT(MOD(ROUNDDOWN(1000/($G$7*D207/100),0),60),"00")," s")</f>
        <v>4 min 59 s</v>
      </c>
      <c r="D208" s="1" t="s">
        <v>80</v>
      </c>
      <c r="F208" s="68" t="str">
        <f>CONCATENATE(INT((400/($G$7*D207/100))/60)," min ",TEXT(MOD(ROUNDDOWN(400/($G$7*D207/100),0),60),"00")," s")</f>
        <v>1 min 59 s</v>
      </c>
      <c r="G208" s="1" t="s">
        <v>79</v>
      </c>
    </row>
    <row r="209" spans="1:7" x14ac:dyDescent="0.25">
      <c r="B209" s="1" t="s">
        <v>91</v>
      </c>
      <c r="D209" s="75">
        <f>ROUND($G$16,2)+7.5</f>
        <v>80.430000000000007</v>
      </c>
      <c r="E209" s="1" t="s">
        <v>81</v>
      </c>
    </row>
    <row r="210" spans="1:7" x14ac:dyDescent="0.25">
      <c r="C210" s="68" t="str">
        <f>CONCATENATE(INT((1000/($G$7*D209/100))/60)," min ",TEXT(MOD(ROUNDDOWN(1000/($G$7*D209/100),0),60),"00")," s")</f>
        <v>4 min 49 s</v>
      </c>
      <c r="D210" s="1" t="s">
        <v>80</v>
      </c>
      <c r="F210" s="68" t="str">
        <f>CONCATENATE(INT((400/($G$7*D209/100))/60)," min ",TEXT(MOD(ROUNDDOWN(400/($G$7*D209/100),0),60),"00")," s")</f>
        <v>1 min 55 s</v>
      </c>
      <c r="G210" s="1" t="s">
        <v>79</v>
      </c>
    </row>
    <row r="211" spans="1:7" x14ac:dyDescent="0.25">
      <c r="B211" s="1" t="s">
        <v>92</v>
      </c>
      <c r="D211" s="75">
        <f>ROUND($G$16,2)+10</f>
        <v>82.93</v>
      </c>
      <c r="E211" s="1" t="s">
        <v>81</v>
      </c>
    </row>
    <row r="212" spans="1:7" x14ac:dyDescent="0.25">
      <c r="C212" s="68" t="str">
        <f>CONCATENATE(INT((1000/($G$7*D211/100))/60)," min ",TEXT(MOD(ROUNDDOWN(1000/($G$7*D211/100),0),60),"00")," s")</f>
        <v>4 min 41 s</v>
      </c>
      <c r="D212" s="1" t="s">
        <v>80</v>
      </c>
      <c r="F212" s="68" t="str">
        <f>CONCATENATE(INT((400/($G$7*D211/100))/60)," min ",TEXT(MOD(ROUNDDOWN(400/($G$7*D211/100),0),60),"00")," s")</f>
        <v>1 min 52 s</v>
      </c>
      <c r="G212" s="1" t="s">
        <v>79</v>
      </c>
    </row>
    <row r="214" spans="1:7" x14ac:dyDescent="0.25">
      <c r="A214" s="66" t="s">
        <v>93</v>
      </c>
    </row>
    <row r="215" spans="1:7" x14ac:dyDescent="0.25">
      <c r="A215" s="3" t="s">
        <v>237</v>
      </c>
      <c r="B215" s="1" t="s">
        <v>240</v>
      </c>
    </row>
    <row r="216" spans="1:7" x14ac:dyDescent="0.25">
      <c r="A216" s="3" t="s">
        <v>77</v>
      </c>
      <c r="B216" s="4" t="s">
        <v>84</v>
      </c>
    </row>
    <row r="217" spans="1:7" x14ac:dyDescent="0.25">
      <c r="A217" s="66"/>
      <c r="B217" s="1" t="s">
        <v>89</v>
      </c>
      <c r="D217" s="75">
        <f>ROUND($G$16,2)+2.5</f>
        <v>75.430000000000007</v>
      </c>
      <c r="E217" s="1" t="s">
        <v>81</v>
      </c>
    </row>
    <row r="218" spans="1:7" x14ac:dyDescent="0.25">
      <c r="A218" s="66"/>
      <c r="C218" s="68" t="str">
        <f>CONCATENATE(INT((1000/($G$7*D217/100))/60)," min ",TEXT(MOD(ROUNDDOWN(1000/($G$7*D217/100),0),60),"00")," s")</f>
        <v>5 min 09 s</v>
      </c>
      <c r="D218" s="1" t="s">
        <v>80</v>
      </c>
      <c r="F218" s="68" t="str">
        <f>CONCATENATE(INT((400/($G$7*D217/100))/60)," min ",TEXT(MOD(ROUNDDOWN(400/($G$7*D217/100),0),60),"00")," s")</f>
        <v>2 min 03 s</v>
      </c>
      <c r="G218" s="1" t="s">
        <v>79</v>
      </c>
    </row>
    <row r="219" spans="1:7" x14ac:dyDescent="0.25">
      <c r="A219" s="66"/>
      <c r="B219" s="1" t="s">
        <v>90</v>
      </c>
      <c r="D219" s="75">
        <f>ROUND($G$16,2)+5</f>
        <v>77.930000000000007</v>
      </c>
      <c r="E219" s="1" t="s">
        <v>81</v>
      </c>
    </row>
    <row r="220" spans="1:7" x14ac:dyDescent="0.25">
      <c r="A220" s="66"/>
      <c r="C220" s="68" t="str">
        <f>CONCATENATE(INT((1000/($G$7*D219/100))/60)," min ",TEXT(MOD(ROUNDDOWN(1000/($G$7*D219/100),0),60),"00")," s")</f>
        <v>4 min 59 s</v>
      </c>
      <c r="D220" s="1" t="s">
        <v>80</v>
      </c>
      <c r="F220" s="68" t="str">
        <f>CONCATENATE(INT((400/($G$7*D219/100))/60)," min ",TEXT(MOD(ROUNDDOWN(400/($G$7*D219/100),0),60),"00")," s")</f>
        <v>1 min 59 s</v>
      </c>
      <c r="G220" s="1" t="s">
        <v>79</v>
      </c>
    </row>
    <row r="221" spans="1:7" x14ac:dyDescent="0.25">
      <c r="A221" s="66"/>
      <c r="B221" s="1" t="s">
        <v>91</v>
      </c>
      <c r="D221" s="75">
        <f>ROUND($G$16,2)+7.5</f>
        <v>80.430000000000007</v>
      </c>
      <c r="E221" s="1" t="s">
        <v>81</v>
      </c>
    </row>
    <row r="222" spans="1:7" x14ac:dyDescent="0.25">
      <c r="A222" s="66"/>
      <c r="C222" s="68" t="str">
        <f>CONCATENATE(INT((1000/($G$7*D221/100))/60)," min ",TEXT(MOD(ROUNDDOWN(1000/($G$7*D221/100),0),60),"00")," s")</f>
        <v>4 min 49 s</v>
      </c>
      <c r="D222" s="1" t="s">
        <v>80</v>
      </c>
      <c r="F222" s="68" t="str">
        <f>CONCATENATE(INT((400/($G$7*D221/100))/60)," min ",TEXT(MOD(ROUNDDOWN(400/($G$7*D221/100),0),60),"00")," s")</f>
        <v>1 min 55 s</v>
      </c>
      <c r="G222" s="1" t="s">
        <v>79</v>
      </c>
    </row>
    <row r="223" spans="1:7" x14ac:dyDescent="0.25">
      <c r="A223" s="66"/>
      <c r="B223" s="1" t="s">
        <v>92</v>
      </c>
      <c r="D223" s="75">
        <f>ROUND($G$16,2)+10</f>
        <v>82.93</v>
      </c>
      <c r="E223" s="1" t="s">
        <v>81</v>
      </c>
    </row>
    <row r="224" spans="1:7" x14ac:dyDescent="0.25">
      <c r="A224" s="66"/>
      <c r="C224" s="68" t="str">
        <f>CONCATENATE(INT((1000/($G$7*D223/100))/60)," min ",TEXT(MOD(ROUNDDOWN(1000/($G$7*D223/100),0),60),"00")," s")</f>
        <v>4 min 41 s</v>
      </c>
      <c r="D224" s="1" t="s">
        <v>80</v>
      </c>
      <c r="F224" s="68" t="str">
        <f>CONCATENATE(INT((400/($G$7*D223/100))/60)," min ",TEXT(MOD(ROUNDDOWN(400/($G$7*D223/100),0),60),"00")," s")</f>
        <v>1 min 52 s</v>
      </c>
      <c r="G224" s="1" t="s">
        <v>79</v>
      </c>
    </row>
    <row r="225" spans="1:10" x14ac:dyDescent="0.25">
      <c r="A225" s="66"/>
      <c r="B225" s="1" t="s">
        <v>242</v>
      </c>
      <c r="D225" s="91">
        <f>ROUND($G$16,2)+12.5</f>
        <v>85.43</v>
      </c>
      <c r="E225" s="1" t="s">
        <v>81</v>
      </c>
    </row>
    <row r="226" spans="1:10" x14ac:dyDescent="0.25">
      <c r="A226" s="66"/>
      <c r="C226" s="68" t="str">
        <f>CONCATENATE(INT((1000/($G$7*D225/100))/60)," min ",TEXT(MOD(ROUNDDOWN(1000/($G$7*D225/100),0),60),"00")," s")</f>
        <v>4 min 32 s</v>
      </c>
      <c r="D226" s="1" t="s">
        <v>80</v>
      </c>
      <c r="F226" s="68" t="str">
        <f>CONCATENATE(INT((400/($G$7*D225/100))/60)," min ",TEXT(MOD(ROUNDDOWN(400/($G$7*D225/100),0),60),"00")," s")</f>
        <v>1 min 49 s</v>
      </c>
      <c r="G226" s="1" t="s">
        <v>79</v>
      </c>
    </row>
    <row r="227" spans="1:10" x14ac:dyDescent="0.25">
      <c r="A227" s="66"/>
      <c r="B227" s="1" t="s">
        <v>241</v>
      </c>
      <c r="D227" s="91">
        <f>ROUND($G$16,2)+15</f>
        <v>87.93</v>
      </c>
      <c r="E227" s="1" t="s">
        <v>81</v>
      </c>
    </row>
    <row r="228" spans="1:10" x14ac:dyDescent="0.25">
      <c r="A228" s="66"/>
      <c r="C228" s="68" t="str">
        <f>CONCATENATE(INT((1000/($G$7*D227/100))/60)," min ",TEXT(MOD(ROUNDDOWN(1000/($G$7*D227/100),0),60),"00")," s")</f>
        <v>4 min 25 s</v>
      </c>
      <c r="D228" s="1" t="s">
        <v>80</v>
      </c>
      <c r="F228" s="68" t="str">
        <f>CONCATENATE(INT((400/($G$7*D227/100))/60)," min ",TEXT(MOD(ROUNDDOWN(400/($G$7*D227/100),0),60),"00")," s")</f>
        <v>1 min 46 s</v>
      </c>
      <c r="G228" s="1" t="s">
        <v>79</v>
      </c>
    </row>
    <row r="229" spans="1:10" ht="8.25" customHeight="1" x14ac:dyDescent="0.25"/>
    <row r="230" spans="1:10" x14ac:dyDescent="0.25">
      <c r="A230" s="66" t="s">
        <v>94</v>
      </c>
    </row>
    <row r="231" spans="1:10" x14ac:dyDescent="0.25">
      <c r="A231" s="3" t="s">
        <v>77</v>
      </c>
      <c r="B231" s="70" t="s">
        <v>243</v>
      </c>
    </row>
    <row r="232" spans="1:10" x14ac:dyDescent="0.25">
      <c r="C232" s="68" t="str">
        <f>CONCATENATE(INT((1000/($G$7*I232/100))/60)," min ",TEXT(MOD(ROUNDDOWN(1000/($G$7*I232/100),0),60),"00")," s")</f>
        <v>4 min 19 s</v>
      </c>
      <c r="D232" s="1" t="s">
        <v>80</v>
      </c>
      <c r="F232" s="68" t="str">
        <f>CONCATENATE(INT((400/($G$7*I232/100))/60)," min ",TEXT(MOD(ROUNDDOWN(400/($G$7*I232/100),0),60),"00")," s")</f>
        <v>1 min 43 s</v>
      </c>
      <c r="G232" s="1" t="s">
        <v>79</v>
      </c>
      <c r="I232" s="70">
        <v>90</v>
      </c>
      <c r="J232" s="1" t="s">
        <v>81</v>
      </c>
    </row>
    <row r="233" spans="1:10" x14ac:dyDescent="0.25">
      <c r="C233" s="68" t="str">
        <f>CONCATENATE(INT((1000/($G$7*I233/100))/60)," min ",TEXT(MOD(ROUNDDOWN(1000/($G$7*I233/100),0),60),"00")," s")</f>
        <v>4 min 34 s</v>
      </c>
      <c r="D233" s="1" t="s">
        <v>80</v>
      </c>
      <c r="F233" s="68" t="str">
        <f>CONCATENATE(INT((400/($G$7*I233/100))/60)," min ",TEXT(MOD(ROUNDDOWN(400/($G$7*I233/100),0),60),"00")," s")</f>
        <v>1 min 49 s</v>
      </c>
      <c r="G233" s="1" t="s">
        <v>79</v>
      </c>
      <c r="I233" s="70">
        <v>85</v>
      </c>
      <c r="J233" s="1" t="s">
        <v>81</v>
      </c>
    </row>
    <row r="234" spans="1:10" x14ac:dyDescent="0.25">
      <c r="C234" s="68" t="str">
        <f>CONCATENATE(INT((1000/($G$7*I234/100))/60)," min ",TEXT(MOD(ROUNDDOWN(1000/($G$7*I234/100),0),60),"00")," s")</f>
        <v>4 min 51 s</v>
      </c>
      <c r="D234" s="1" t="s">
        <v>80</v>
      </c>
      <c r="F234" s="68" t="str">
        <f>CONCATENATE(INT((400/($G$7*I234/100))/60)," min ",TEXT(MOD(ROUNDDOWN(400/($G$7*I234/100),0),60),"00")," s")</f>
        <v>1 min 56 s</v>
      </c>
      <c r="G234" s="1" t="s">
        <v>79</v>
      </c>
      <c r="I234" s="70">
        <v>80</v>
      </c>
      <c r="J234" s="1" t="s">
        <v>81</v>
      </c>
    </row>
    <row r="235" spans="1:10" ht="8.25" customHeight="1" x14ac:dyDescent="0.25"/>
    <row r="236" spans="1:10" x14ac:dyDescent="0.25">
      <c r="A236" s="66" t="s">
        <v>95</v>
      </c>
    </row>
    <row r="237" spans="1:10" x14ac:dyDescent="0.25">
      <c r="A237" s="3" t="s">
        <v>77</v>
      </c>
      <c r="B237" s="70" t="s">
        <v>244</v>
      </c>
    </row>
    <row r="238" spans="1:10" x14ac:dyDescent="0.25">
      <c r="C238" s="68" t="str">
        <f>CONCATENATE(INT((1000/($G$7*I238/100))/60)," min ",TEXT(MOD(ROUNDDOWN(1000/($G$7*I238/100),0),60),"00")," s")</f>
        <v>4 min 05 s</v>
      </c>
      <c r="D238" s="1" t="s">
        <v>80</v>
      </c>
      <c r="F238" s="68" t="str">
        <f>CONCATENATE(INT((400/($G$7*I238/100))/60)," min ",TEXT(MOD(ROUNDDOWN(400/($G$7*I238/100),0),60),"00")," s")</f>
        <v>1 min 38 s</v>
      </c>
      <c r="G238" s="1" t="s">
        <v>79</v>
      </c>
      <c r="I238" s="70">
        <v>95</v>
      </c>
      <c r="J238" s="1" t="s">
        <v>81</v>
      </c>
    </row>
    <row r="239" spans="1:10" x14ac:dyDescent="0.25">
      <c r="C239" s="68" t="str">
        <f>CONCATENATE(INT((1000/($G$7*I239/100))/60)," min ",TEXT(MOD(ROUNDDOWN(1000/($G$7*I239/100),0),60),"00")," s")</f>
        <v>4 min 19 s</v>
      </c>
      <c r="D239" s="1" t="s">
        <v>80</v>
      </c>
      <c r="F239" s="68" t="str">
        <f>CONCATENATE(INT((400/($G$7*I239/100))/60)," min ",TEXT(MOD(ROUNDDOWN(400/($G$7*I239/100),0),60),"00")," s")</f>
        <v>1 min 43 s</v>
      </c>
      <c r="G239" s="1" t="s">
        <v>79</v>
      </c>
      <c r="I239" s="70">
        <v>90</v>
      </c>
      <c r="J239" s="1" t="s">
        <v>81</v>
      </c>
    </row>
    <row r="240" spans="1:10" x14ac:dyDescent="0.25">
      <c r="C240" s="68" t="str">
        <f>CONCATENATE(INT((1000/($G$7*I240/100))/60)," min ",TEXT(MOD(ROUNDDOWN(1000/($G$7*I240/100),0),60),"00")," s")</f>
        <v>4 min 34 s</v>
      </c>
      <c r="D240" s="1" t="s">
        <v>80</v>
      </c>
      <c r="F240" s="68" t="str">
        <f>CONCATENATE(INT((400/($G$7*I240/100))/60)," min ",TEXT(MOD(ROUNDDOWN(400/($G$7*I240/100),0),60),"00")," s")</f>
        <v>1 min 49 s</v>
      </c>
      <c r="G240" s="1" t="s">
        <v>79</v>
      </c>
      <c r="I240" s="70">
        <v>85</v>
      </c>
      <c r="J240" s="1" t="s">
        <v>81</v>
      </c>
    </row>
    <row r="241" spans="1:11" ht="8.25" customHeight="1" x14ac:dyDescent="0.25">
      <c r="C241" s="68"/>
      <c r="F241" s="68"/>
      <c r="I241" s="70"/>
    </row>
    <row r="242" spans="1:11" x14ac:dyDescent="0.25">
      <c r="A242" s="66" t="s">
        <v>216</v>
      </c>
    </row>
    <row r="243" spans="1:11" x14ac:dyDescent="0.25">
      <c r="A243" s="3" t="s">
        <v>77</v>
      </c>
      <c r="B243" s="70" t="s">
        <v>245</v>
      </c>
    </row>
    <row r="244" spans="1:11" x14ac:dyDescent="0.25">
      <c r="C244" s="68" t="str">
        <f>CONCATENATE(INT((1000/($G$7*I244/100))/60)," min ",TEXT(MOD(ROUNDDOWN(1000/($G$7*I244/100),0),60),"00")," s")</f>
        <v>3 min 53 s</v>
      </c>
      <c r="D244" s="1" t="s">
        <v>80</v>
      </c>
      <c r="F244" s="68" t="str">
        <f>CONCATENATE(INT((400/($G$7*I244/100))/60)," min ",TEXT(MOD(ROUNDDOWN(400/($G$7*I244/100),0),60),"00")," s")</f>
        <v>1 min 33 s</v>
      </c>
      <c r="G244" s="1" t="s">
        <v>79</v>
      </c>
      <c r="I244" s="70">
        <v>100</v>
      </c>
      <c r="J244" s="1" t="s">
        <v>81</v>
      </c>
    </row>
    <row r="245" spans="1:11" x14ac:dyDescent="0.25">
      <c r="C245" s="68" t="str">
        <f>CONCATENATE(INT((1000/($G$7*I245/100))/60)," min ",TEXT(MOD(ROUNDDOWN(1000/($G$7*I245/100),0),60),"00")," s")</f>
        <v>4 min 05 s</v>
      </c>
      <c r="D245" s="1" t="s">
        <v>80</v>
      </c>
      <c r="F245" s="68" t="str">
        <f>CONCATENATE(INT((400/($G$7*I245/100))/60)," min ",TEXT(MOD(ROUNDDOWN(400/($G$7*I245/100),0),60),"00")," s")</f>
        <v>1 min 38 s</v>
      </c>
      <c r="G245" s="1" t="s">
        <v>79</v>
      </c>
      <c r="I245" s="70">
        <v>95</v>
      </c>
      <c r="J245" s="1" t="s">
        <v>81</v>
      </c>
    </row>
    <row r="246" spans="1:11" x14ac:dyDescent="0.25">
      <c r="C246" s="68" t="str">
        <f>CONCATENATE(INT((1000/($G$7*I246/100))/60)," min ",TEXT(MOD(ROUNDDOWN(1000/($G$7*I246/100),0),60),"00")," s")</f>
        <v>4 min 19 s</v>
      </c>
      <c r="D246" s="1" t="s">
        <v>80</v>
      </c>
      <c r="F246" s="68" t="str">
        <f>CONCATENATE(INT((400/($G$7*I246/100))/60)," min ",TEXT(MOD(ROUNDDOWN(400/($G$7*I246/100),0),60),"00")," s")</f>
        <v>1 min 43 s</v>
      </c>
      <c r="G246" s="1" t="s">
        <v>79</v>
      </c>
      <c r="I246" s="70">
        <v>90</v>
      </c>
      <c r="J246" s="1" t="s">
        <v>81</v>
      </c>
    </row>
    <row r="247" spans="1:11" ht="8.25" customHeight="1" x14ac:dyDescent="0.25">
      <c r="C247" s="68"/>
      <c r="F247" s="68"/>
      <c r="I247" s="70"/>
    </row>
    <row r="248" spans="1:11" x14ac:dyDescent="0.25">
      <c r="A248" s="66" t="s">
        <v>217</v>
      </c>
    </row>
    <row r="249" spans="1:11" x14ac:dyDescent="0.25">
      <c r="A249" s="3" t="s">
        <v>77</v>
      </c>
      <c r="B249" s="70" t="s">
        <v>246</v>
      </c>
    </row>
    <row r="250" spans="1:11" x14ac:dyDescent="0.25">
      <c r="C250" s="68" t="str">
        <f>CONCATENATE(INT((1000/($G$7*I250/100))/60)," min ",TEXT(MOD(ROUNDDOWN(1000/($G$7*I250/100),0),60),"00")," s")</f>
        <v>3 min 22 s</v>
      </c>
      <c r="D250" s="1" t="s">
        <v>80</v>
      </c>
      <c r="F250" s="68" t="str">
        <f>CONCATENATE(INT((400/($G$7*I250/100))/60)," min ",TEXT(MOD(ROUNDDOWN(400/($G$7*I250/100),0),60),"00")," s")</f>
        <v>1 min 21 s</v>
      </c>
      <c r="G250" s="1" t="s">
        <v>79</v>
      </c>
      <c r="I250" s="70">
        <v>115</v>
      </c>
      <c r="J250" s="1" t="s">
        <v>81</v>
      </c>
    </row>
    <row r="251" spans="1:11" x14ac:dyDescent="0.25">
      <c r="C251" s="68" t="str">
        <f t="shared" ref="C251:C252" si="39">CONCATENATE(INT((1000/($G$7*I251/100))/60)," min ",TEXT(MOD(ROUNDDOWN(1000/($G$7*I251/100),0),60),"00")," s")</f>
        <v>3 min 42 s</v>
      </c>
      <c r="D251" s="1" t="s">
        <v>80</v>
      </c>
      <c r="F251" s="68" t="str">
        <f t="shared" ref="F251:F252" si="40">CONCATENATE(INT((400/($G$7*I251/100))/60)," min ",TEXT(MOD(ROUNDDOWN(400/($G$7*I251/100),0),60),"00")," s")</f>
        <v>1 min 28 s</v>
      </c>
      <c r="G251" s="1" t="s">
        <v>79</v>
      </c>
      <c r="I251" s="70">
        <v>105</v>
      </c>
      <c r="J251" s="1" t="s">
        <v>81</v>
      </c>
    </row>
    <row r="252" spans="1:11" x14ac:dyDescent="0.25">
      <c r="C252" s="68" t="str">
        <f t="shared" si="39"/>
        <v>4 min 05 s</v>
      </c>
      <c r="D252" s="1" t="s">
        <v>80</v>
      </c>
      <c r="F252" s="68" t="str">
        <f t="shared" si="40"/>
        <v>1 min 38 s</v>
      </c>
      <c r="G252" s="1" t="s">
        <v>79</v>
      </c>
      <c r="I252" s="70">
        <v>95</v>
      </c>
      <c r="J252" s="1" t="s">
        <v>81</v>
      </c>
    </row>
    <row r="253" spans="1:11" ht="26.25" x14ac:dyDescent="0.25">
      <c r="A253" s="99" t="s">
        <v>96</v>
      </c>
      <c r="B253" s="100"/>
      <c r="C253" s="100"/>
      <c r="D253" s="100"/>
      <c r="E253" s="100"/>
      <c r="F253" s="100"/>
      <c r="G253" s="100"/>
      <c r="H253" s="100"/>
      <c r="I253" s="100"/>
      <c r="J253" s="100"/>
      <c r="K253" s="101"/>
    </row>
    <row r="254" spans="1:11" ht="8.25" customHeight="1" x14ac:dyDescent="0.25"/>
    <row r="255" spans="1:11" x14ac:dyDescent="0.25">
      <c r="A255" s="66" t="s">
        <v>97</v>
      </c>
    </row>
    <row r="256" spans="1:11" x14ac:dyDescent="0.25">
      <c r="A256" s="3" t="s">
        <v>77</v>
      </c>
      <c r="B256" s="1" t="s">
        <v>98</v>
      </c>
    </row>
    <row r="257" spans="1:13" x14ac:dyDescent="0.25">
      <c r="B257" s="1" t="s">
        <v>175</v>
      </c>
    </row>
    <row r="258" spans="1:13" x14ac:dyDescent="0.25">
      <c r="A258" s="3" t="s">
        <v>77</v>
      </c>
      <c r="B258" s="1" t="s">
        <v>226</v>
      </c>
      <c r="G258" s="76"/>
    </row>
    <row r="259" spans="1:13" x14ac:dyDescent="0.25">
      <c r="A259" s="3" t="s">
        <v>77</v>
      </c>
      <c r="B259" s="1" t="s">
        <v>173</v>
      </c>
    </row>
    <row r="260" spans="1:13" x14ac:dyDescent="0.25">
      <c r="A260" s="3" t="s">
        <v>77</v>
      </c>
      <c r="B260" s="1" t="s">
        <v>174</v>
      </c>
    </row>
    <row r="262" spans="1:13" x14ac:dyDescent="0.25">
      <c r="A262" s="4" t="s">
        <v>99</v>
      </c>
      <c r="C262" s="1" t="s">
        <v>101</v>
      </c>
    </row>
    <row r="263" spans="1:13" x14ac:dyDescent="0.25">
      <c r="B263" s="1" t="s">
        <v>196</v>
      </c>
      <c r="F263" s="77" t="str">
        <f>CONCATENATE(INT(F68/60)," min ",TEXT(ROUNDDOWN(MOD(ROUNDDOWN(F68,1),60),1),"00.0")," s")</f>
        <v>0 min 23.3 s</v>
      </c>
      <c r="H263" s="1" t="s">
        <v>119</v>
      </c>
      <c r="L263" s="87"/>
      <c r="M263" s="88"/>
    </row>
    <row r="264" spans="1:13" x14ac:dyDescent="0.25">
      <c r="B264" s="1" t="s">
        <v>171</v>
      </c>
    </row>
    <row r="265" spans="1:13" x14ac:dyDescent="0.25">
      <c r="B265" s="1" t="s">
        <v>172</v>
      </c>
    </row>
    <row r="266" spans="1:13" ht="8.25" customHeight="1" x14ac:dyDescent="0.25"/>
    <row r="267" spans="1:13" x14ac:dyDescent="0.25">
      <c r="A267" s="4" t="s">
        <v>100</v>
      </c>
      <c r="C267" s="1" t="s">
        <v>101</v>
      </c>
    </row>
    <row r="268" spans="1:13" x14ac:dyDescent="0.25">
      <c r="B268" s="1" t="s">
        <v>197</v>
      </c>
      <c r="F268" s="77" t="str">
        <f>CONCATENATE(INT(F69/60)," min ",TEXT(ROUNDDOWN(MOD(ROUNDDOWN(F69,1),60),1),"00.0")," s")</f>
        <v>0 min 46.6 s</v>
      </c>
      <c r="H268" s="1" t="s">
        <v>119</v>
      </c>
    </row>
    <row r="269" spans="1:13" x14ac:dyDescent="0.25">
      <c r="B269" s="1" t="s">
        <v>151</v>
      </c>
    </row>
    <row r="270" spans="1:13" ht="8.25" customHeight="1" x14ac:dyDescent="0.25"/>
    <row r="271" spans="1:13" x14ac:dyDescent="0.25">
      <c r="A271" s="4" t="s">
        <v>102</v>
      </c>
      <c r="C271" s="1" t="s">
        <v>106</v>
      </c>
    </row>
    <row r="272" spans="1:13" x14ac:dyDescent="0.25">
      <c r="B272" s="1" t="s">
        <v>198</v>
      </c>
      <c r="F272" s="77" t="str">
        <f>CONCATENATE(INT(F70/60)," min ",TEXT(ROUNDDOWN(MOD(ROUNDDOWN(F70,1),60),1),"00.0")," s")</f>
        <v>1 min 09.9 s</v>
      </c>
      <c r="H272" s="1" t="s">
        <v>119</v>
      </c>
    </row>
    <row r="273" spans="1:8" x14ac:dyDescent="0.25">
      <c r="B273" s="1" t="s">
        <v>150</v>
      </c>
    </row>
    <row r="274" spans="1:8" ht="8.25" customHeight="1" x14ac:dyDescent="0.25"/>
    <row r="275" spans="1:8" x14ac:dyDescent="0.25">
      <c r="A275" s="4" t="s">
        <v>103</v>
      </c>
      <c r="C275" s="1" t="s">
        <v>104</v>
      </c>
    </row>
    <row r="276" spans="1:8" x14ac:dyDescent="0.25">
      <c r="B276" s="1" t="s">
        <v>199</v>
      </c>
      <c r="F276" s="77" t="str">
        <f>CONCATENATE(INT(F71/60)," min ",TEXT(ROUNDDOWN(MOD(ROUNDDOWN(F71,1),60),1),"00.0")," s")</f>
        <v>1 min 33.2 s</v>
      </c>
      <c r="H276" s="1" t="s">
        <v>119</v>
      </c>
    </row>
    <row r="277" spans="1:8" x14ac:dyDescent="0.25">
      <c r="B277" s="1" t="s">
        <v>149</v>
      </c>
    </row>
    <row r="278" spans="1:8" ht="8.25" customHeight="1" x14ac:dyDescent="0.25"/>
    <row r="279" spans="1:8" x14ac:dyDescent="0.25">
      <c r="A279" s="4" t="s">
        <v>105</v>
      </c>
      <c r="C279" s="1" t="s">
        <v>106</v>
      </c>
    </row>
    <row r="280" spans="1:8" x14ac:dyDescent="0.25">
      <c r="B280" s="1" t="s">
        <v>200</v>
      </c>
      <c r="F280" s="77" t="str">
        <f>CONCATENATE(INT(F72/60)," min ",TEXT(ROUNDDOWN(MOD(ROUNDDOWN(F72,1),60),1),"00.0")," s")</f>
        <v>2 min 19.8 s</v>
      </c>
      <c r="H280" s="1" t="s">
        <v>119</v>
      </c>
    </row>
    <row r="281" spans="1:8" x14ac:dyDescent="0.25">
      <c r="B281" s="1" t="s">
        <v>148</v>
      </c>
      <c r="E281" s="3"/>
      <c r="G281" s="68"/>
    </row>
    <row r="282" spans="1:8" ht="8.25" customHeight="1" x14ac:dyDescent="0.25"/>
    <row r="283" spans="1:8" x14ac:dyDescent="0.25">
      <c r="A283" s="4" t="s">
        <v>107</v>
      </c>
      <c r="C283" s="1" t="s">
        <v>104</v>
      </c>
    </row>
    <row r="284" spans="1:8" x14ac:dyDescent="0.25">
      <c r="B284" s="1" t="s">
        <v>201</v>
      </c>
      <c r="F284" s="77" t="str">
        <f>CONCATENATE(INT(F73/60)," min ",TEXT(ROUNDDOWN(MOD(ROUNDDOWN(F73,1),60),1),"00.0")," s")</f>
        <v>3 min 06.5 s</v>
      </c>
      <c r="H284" s="1" t="s">
        <v>119</v>
      </c>
    </row>
    <row r="285" spans="1:8" x14ac:dyDescent="0.25">
      <c r="B285" s="1" t="s">
        <v>147</v>
      </c>
      <c r="E285" s="3"/>
      <c r="G285" s="68"/>
    </row>
    <row r="286" spans="1:8" ht="8.25" customHeight="1" x14ac:dyDescent="0.25"/>
    <row r="287" spans="1:8" x14ac:dyDescent="0.25">
      <c r="A287" s="71" t="s">
        <v>108</v>
      </c>
    </row>
    <row r="288" spans="1:8" x14ac:dyDescent="0.25">
      <c r="B288" s="1" t="s">
        <v>109</v>
      </c>
    </row>
    <row r="289" spans="1:9" x14ac:dyDescent="0.25">
      <c r="B289" s="1" t="s">
        <v>110</v>
      </c>
    </row>
    <row r="290" spans="1:9" x14ac:dyDescent="0.25">
      <c r="B290" s="1" t="s">
        <v>111</v>
      </c>
    </row>
    <row r="291" spans="1:9" x14ac:dyDescent="0.25">
      <c r="B291" s="1" t="s">
        <v>215</v>
      </c>
    </row>
    <row r="293" spans="1:9" x14ac:dyDescent="0.25">
      <c r="A293" s="66" t="s">
        <v>112</v>
      </c>
    </row>
    <row r="294" spans="1:9" x14ac:dyDescent="0.25">
      <c r="A294" s="3" t="s">
        <v>77</v>
      </c>
      <c r="B294" s="1" t="s">
        <v>176</v>
      </c>
    </row>
    <row r="295" spans="1:9" x14ac:dyDescent="0.25">
      <c r="A295" s="3" t="s">
        <v>77</v>
      </c>
      <c r="B295" s="1" t="s">
        <v>177</v>
      </c>
    </row>
    <row r="296" spans="1:9" x14ac:dyDescent="0.25">
      <c r="B296" s="1" t="s">
        <v>178</v>
      </c>
    </row>
    <row r="297" spans="1:9" x14ac:dyDescent="0.25">
      <c r="B297" s="1" t="s">
        <v>113</v>
      </c>
    </row>
    <row r="298" spans="1:9" x14ac:dyDescent="0.25">
      <c r="A298" s="3" t="s">
        <v>77</v>
      </c>
      <c r="B298" s="1" t="s">
        <v>114</v>
      </c>
    </row>
    <row r="299" spans="1:9" x14ac:dyDescent="0.25">
      <c r="B299" s="1" t="s">
        <v>179</v>
      </c>
    </row>
    <row r="300" spans="1:9" x14ac:dyDescent="0.25">
      <c r="B300" s="1" t="s">
        <v>180</v>
      </c>
    </row>
    <row r="301" spans="1:9" x14ac:dyDescent="0.25">
      <c r="A301" s="3" t="s">
        <v>77</v>
      </c>
      <c r="B301" s="1" t="s">
        <v>181</v>
      </c>
    </row>
    <row r="302" spans="1:9" x14ac:dyDescent="0.25">
      <c r="B302" s="1" t="s">
        <v>115</v>
      </c>
    </row>
    <row r="303" spans="1:9" x14ac:dyDescent="0.25">
      <c r="A303" s="3" t="s">
        <v>77</v>
      </c>
      <c r="B303" s="1" t="s">
        <v>227</v>
      </c>
      <c r="I303" s="3"/>
    </row>
    <row r="305" spans="1:9" x14ac:dyDescent="0.25">
      <c r="A305" s="4" t="s">
        <v>99</v>
      </c>
      <c r="C305" s="1" t="s">
        <v>116</v>
      </c>
    </row>
    <row r="306" spans="1:9" x14ac:dyDescent="0.25">
      <c r="B306" s="1" t="s">
        <v>202</v>
      </c>
      <c r="F306" s="2"/>
      <c r="I306" s="2"/>
    </row>
    <row r="307" spans="1:9" x14ac:dyDescent="0.25">
      <c r="B307" s="86">
        <v>85</v>
      </c>
      <c r="C307" s="72" t="s">
        <v>81</v>
      </c>
      <c r="F307" s="68" t="str">
        <f>CONCATENATE(INT(F105/60)," min ",TEXT(ROUNDDOWN(MOD(ROUNDDOWN(F105,1),60),1),"00.0")," s")</f>
        <v>0 min 54.8 s</v>
      </c>
      <c r="G307" s="6" t="s">
        <v>119</v>
      </c>
    </row>
    <row r="308" spans="1:9" x14ac:dyDescent="0.25">
      <c r="B308" s="86">
        <v>75</v>
      </c>
      <c r="C308" s="72" t="s">
        <v>81</v>
      </c>
      <c r="F308" s="68" t="str">
        <f>CONCATENATE(INT(F129/60)," min ",TEXT(ROUNDDOWN(MOD(ROUNDDOWN(F129,1),60),1),"00.0")," s")</f>
        <v>1 min 02.1 s</v>
      </c>
      <c r="G308" s="6" t="s">
        <v>119</v>
      </c>
    </row>
    <row r="309" spans="1:9" ht="8.25" customHeight="1" x14ac:dyDescent="0.25">
      <c r="F309" s="2"/>
    </row>
    <row r="310" spans="1:9" x14ac:dyDescent="0.25">
      <c r="A310" s="4" t="s">
        <v>100</v>
      </c>
      <c r="C310" s="1" t="s">
        <v>117</v>
      </c>
    </row>
    <row r="311" spans="1:9" x14ac:dyDescent="0.25">
      <c r="B311" s="1" t="s">
        <v>203</v>
      </c>
      <c r="F311" s="2"/>
      <c r="I311" s="2"/>
    </row>
    <row r="312" spans="1:9" x14ac:dyDescent="0.25">
      <c r="B312" s="86">
        <v>85</v>
      </c>
      <c r="C312" s="72" t="s">
        <v>81</v>
      </c>
      <c r="F312" s="68" t="str">
        <f>CONCATENATE(INT(F106/60)," min ",TEXT(ROUNDDOWN(MOD(ROUNDDOWN(F106,1),60),1),"00.0")," s")</f>
        <v>1 min 22.2 s</v>
      </c>
      <c r="G312" s="6" t="s">
        <v>119</v>
      </c>
    </row>
    <row r="313" spans="1:9" x14ac:dyDescent="0.25">
      <c r="B313" s="86">
        <v>75</v>
      </c>
      <c r="C313" s="72" t="s">
        <v>81</v>
      </c>
      <c r="F313" s="68" t="str">
        <f>CONCATENATE(INT(F130/60)," min ",TEXT(ROUNDDOWN(MOD(ROUNDDOWN(F130,1),60),1),"00.0")," s")</f>
        <v>1 min 33.2 s</v>
      </c>
      <c r="G313" s="6" t="s">
        <v>119</v>
      </c>
    </row>
    <row r="314" spans="1:9" ht="8.25" customHeight="1" x14ac:dyDescent="0.25"/>
    <row r="315" spans="1:9" x14ac:dyDescent="0.25">
      <c r="A315" s="4" t="s">
        <v>102</v>
      </c>
      <c r="C315" s="1" t="s">
        <v>118</v>
      </c>
    </row>
    <row r="316" spans="1:9" x14ac:dyDescent="0.25">
      <c r="B316" s="1" t="s">
        <v>204</v>
      </c>
      <c r="F316" s="2"/>
      <c r="I316" s="2"/>
    </row>
    <row r="317" spans="1:9" x14ac:dyDescent="0.25">
      <c r="B317" s="86">
        <v>85</v>
      </c>
      <c r="C317" s="72" t="s">
        <v>81</v>
      </c>
      <c r="F317" s="68" t="str">
        <f>CONCATENATE(INT(F107/60)," min ",TEXT(ROUNDDOWN(MOD(ROUNDDOWN(F107,1),60),1),"00.0")," s")</f>
        <v>1 min 49.7 s</v>
      </c>
      <c r="G317" s="6" t="s">
        <v>119</v>
      </c>
    </row>
    <row r="318" spans="1:9" x14ac:dyDescent="0.25">
      <c r="B318" s="86">
        <v>75</v>
      </c>
      <c r="C318" s="72" t="s">
        <v>81</v>
      </c>
      <c r="F318" s="68" t="str">
        <f>CONCATENATE(INT(F131/60)," min ",TEXT(ROUNDDOWN(MOD(ROUNDDOWN(F131,1),60),1),"00.0")," s")</f>
        <v>2 min 04.3 s</v>
      </c>
      <c r="G318" s="6" t="s">
        <v>119</v>
      </c>
    </row>
    <row r="319" spans="1:9" ht="8.25" customHeight="1" x14ac:dyDescent="0.25"/>
    <row r="320" spans="1:9" x14ac:dyDescent="0.25">
      <c r="A320" s="4" t="s">
        <v>103</v>
      </c>
      <c r="C320" s="1" t="s">
        <v>120</v>
      </c>
    </row>
    <row r="321" spans="1:10" x14ac:dyDescent="0.25">
      <c r="B321" s="1" t="s">
        <v>205</v>
      </c>
      <c r="F321" s="2"/>
      <c r="I321" s="2"/>
    </row>
    <row r="322" spans="1:10" x14ac:dyDescent="0.25">
      <c r="B322" s="86">
        <v>85</v>
      </c>
      <c r="C322" s="72" t="s">
        <v>81</v>
      </c>
      <c r="F322" s="68" t="str">
        <f>CONCATENATE(INT(F107/60)," min ",TEXT(ROUNDDOWN(MOD(ROUNDDOWN(F107,1),60),1),"00.0")," s")</f>
        <v>1 min 49.7 s</v>
      </c>
      <c r="G322" s="6" t="s">
        <v>119</v>
      </c>
    </row>
    <row r="323" spans="1:10" x14ac:dyDescent="0.25">
      <c r="B323" s="86">
        <v>75</v>
      </c>
      <c r="C323" s="72" t="s">
        <v>81</v>
      </c>
      <c r="F323" s="68" t="str">
        <f>CONCATENATE(INT(F131/60)," min ",TEXT(ROUNDDOWN(MOD(ROUNDDOWN(F131,1),60),1),"00.0")," s")</f>
        <v>2 min 04.3 s</v>
      </c>
      <c r="G323" s="6" t="s">
        <v>119</v>
      </c>
    </row>
    <row r="324" spans="1:10" ht="8.25" customHeight="1" x14ac:dyDescent="0.25"/>
    <row r="325" spans="1:10" x14ac:dyDescent="0.25">
      <c r="A325" s="4" t="s">
        <v>105</v>
      </c>
      <c r="C325" s="1" t="s">
        <v>121</v>
      </c>
    </row>
    <row r="326" spans="1:10" x14ac:dyDescent="0.25">
      <c r="B326" s="1" t="s">
        <v>206</v>
      </c>
      <c r="F326" s="2"/>
      <c r="I326" s="2"/>
    </row>
    <row r="327" spans="1:10" x14ac:dyDescent="0.25">
      <c r="B327" s="86">
        <v>85</v>
      </c>
      <c r="C327" s="72" t="s">
        <v>81</v>
      </c>
      <c r="F327" s="68" t="str">
        <f>CONCATENATE(INT(F108/60)," min ",TEXT(ROUNDDOWN(MOD(ROUNDDOWN(F108,1),60),1),"00.0")," s")</f>
        <v>2 min 44.5 s</v>
      </c>
      <c r="G327" s="6" t="s">
        <v>229</v>
      </c>
      <c r="H327" s="1" t="str">
        <f>CONCATENATE("(",$F$322," /400 m)")</f>
        <v>(1 min 49.7 s /400 m)</v>
      </c>
      <c r="J327" s="67"/>
    </row>
    <row r="328" spans="1:10" x14ac:dyDescent="0.25">
      <c r="B328" s="86">
        <v>75</v>
      </c>
      <c r="C328" s="72" t="s">
        <v>81</v>
      </c>
      <c r="F328" s="68" t="str">
        <f>CONCATENATE(INT(F132/60)," min ",TEXT(ROUNDDOWN(MOD(ROUNDDOWN(F132,1),60),1),"00.0")," s")</f>
        <v>3 min 06.5 s</v>
      </c>
      <c r="G328" s="6" t="s">
        <v>229</v>
      </c>
      <c r="H328" s="1" t="str">
        <f>CONCATENATE("(",$F$323," /400 m)")</f>
        <v>(2 min 04.3 s /400 m)</v>
      </c>
    </row>
    <row r="329" spans="1:10" ht="8.25" customHeight="1" x14ac:dyDescent="0.25"/>
    <row r="330" spans="1:10" x14ac:dyDescent="0.25">
      <c r="A330" s="4" t="s">
        <v>107</v>
      </c>
      <c r="C330" s="1" t="s">
        <v>122</v>
      </c>
    </row>
    <row r="331" spans="1:10" x14ac:dyDescent="0.25">
      <c r="B331" s="1" t="s">
        <v>207</v>
      </c>
      <c r="F331" s="2"/>
      <c r="I331" s="2"/>
    </row>
    <row r="332" spans="1:10" x14ac:dyDescent="0.25">
      <c r="B332" s="86">
        <v>85</v>
      </c>
      <c r="C332" s="72" t="s">
        <v>81</v>
      </c>
      <c r="F332" s="68" t="str">
        <f>CONCATENATE(INT(F109/60)," min ",TEXT(ROUNDDOWN(MOD(ROUNDDOWN(F109,1),60),1),"00.0")," s")</f>
        <v>3 min 39.4 s</v>
      </c>
      <c r="G332" s="6" t="s">
        <v>229</v>
      </c>
      <c r="H332" s="1" t="str">
        <f>CONCATENATE("(",$F$322," /400 m)")</f>
        <v>(1 min 49.7 s /400 m)</v>
      </c>
      <c r="J332" s="67"/>
    </row>
    <row r="333" spans="1:10" x14ac:dyDescent="0.25">
      <c r="B333" s="86">
        <v>75</v>
      </c>
      <c r="C333" s="72" t="s">
        <v>81</v>
      </c>
      <c r="F333" s="68" t="str">
        <f>CONCATENATE(INT(F133/60)," min ",TEXT(ROUNDDOWN(MOD(ROUNDDOWN(F133,1),60),1),"00.0")," s")</f>
        <v>4 min 08.6 s</v>
      </c>
      <c r="G333" s="6" t="s">
        <v>229</v>
      </c>
      <c r="H333" s="1" t="str">
        <f>CONCATENATE("(",$F$323," /400 m)")</f>
        <v>(2 min 04.3 s /400 m)</v>
      </c>
    </row>
    <row r="334" spans="1:10" ht="8.25" customHeight="1" x14ac:dyDescent="0.25"/>
    <row r="335" spans="1:10" x14ac:dyDescent="0.25">
      <c r="A335" s="4" t="s">
        <v>123</v>
      </c>
      <c r="C335" s="1" t="s">
        <v>122</v>
      </c>
    </row>
    <row r="336" spans="1:10" x14ac:dyDescent="0.25">
      <c r="B336" s="1" t="s">
        <v>208</v>
      </c>
      <c r="F336" s="2"/>
    </row>
    <row r="337" spans="1:10" x14ac:dyDescent="0.25">
      <c r="B337" s="86">
        <v>85</v>
      </c>
      <c r="C337" s="72" t="s">
        <v>81</v>
      </c>
      <c r="F337" s="68" t="str">
        <f>CONCATENATE(INT(F110/60)," min ",TEXT(ROUNDDOWN(MOD(ROUNDDOWN(F110,1),60),1),"00.0")," s")</f>
        <v>4 min 34.3 s</v>
      </c>
      <c r="G337" s="6" t="s">
        <v>229</v>
      </c>
      <c r="H337" s="1" t="str">
        <f>CONCATENATE("(",$F$322," /400 m)")</f>
        <v>(1 min 49.7 s /400 m)</v>
      </c>
      <c r="J337" s="67"/>
    </row>
    <row r="338" spans="1:10" x14ac:dyDescent="0.25">
      <c r="B338" s="86">
        <v>75</v>
      </c>
      <c r="C338" s="72" t="s">
        <v>81</v>
      </c>
      <c r="F338" s="68" t="str">
        <f>CONCATENATE(INT(F134/60)," min ",TEXT(ROUNDDOWN(MOD(ROUNDDOWN(F134,1),60),1),"00.0")," s")</f>
        <v>5 min 10.8 s</v>
      </c>
      <c r="G338" s="6" t="s">
        <v>229</v>
      </c>
      <c r="H338" s="1" t="str">
        <f>CONCATENATE("(",$F$323," /400 m)")</f>
        <v>(2 min 04.3 s /400 m)</v>
      </c>
    </row>
    <row r="339" spans="1:10" ht="8.25" customHeight="1" x14ac:dyDescent="0.25"/>
    <row r="340" spans="1:10" x14ac:dyDescent="0.25">
      <c r="A340" s="4" t="s">
        <v>124</v>
      </c>
      <c r="C340" s="1" t="s">
        <v>125</v>
      </c>
    </row>
    <row r="341" spans="1:10" x14ac:dyDescent="0.25">
      <c r="B341" s="1" t="s">
        <v>209</v>
      </c>
      <c r="F341" s="2"/>
    </row>
    <row r="342" spans="1:10" x14ac:dyDescent="0.25">
      <c r="B342" s="86">
        <v>85</v>
      </c>
      <c r="C342" s="72" t="s">
        <v>81</v>
      </c>
      <c r="F342" s="68" t="str">
        <f>CONCATENATE(INT(F110/60)," min ",TEXT(ROUNDDOWN(MOD(ROUNDDOWN(F110,1),60),1),"00.0")," s")</f>
        <v>4 min 34.3 s</v>
      </c>
      <c r="G342" s="6" t="s">
        <v>229</v>
      </c>
      <c r="H342" s="1" t="str">
        <f>CONCATENATE("(",$F$322," /400 m)")</f>
        <v>(1 min 49.7 s /400 m)</v>
      </c>
      <c r="J342" s="67"/>
    </row>
    <row r="343" spans="1:10" x14ac:dyDescent="0.25">
      <c r="B343" s="86">
        <v>75</v>
      </c>
      <c r="C343" s="72" t="s">
        <v>81</v>
      </c>
      <c r="F343" s="68" t="str">
        <f>CONCATENATE(INT(F134/60)," min ",TEXT(ROUNDDOWN(MOD(ROUNDDOWN(F134,1),60),1),"00.0")," s")</f>
        <v>5 min 10.8 s</v>
      </c>
      <c r="G343" s="6" t="s">
        <v>229</v>
      </c>
      <c r="H343" s="1" t="str">
        <f>CONCATENATE("(",$F$323," /400 m)")</f>
        <v>(2 min 04.3 s /400 m)</v>
      </c>
    </row>
    <row r="344" spans="1:10" ht="8.25" customHeight="1" x14ac:dyDescent="0.25"/>
    <row r="345" spans="1:10" x14ac:dyDescent="0.25">
      <c r="A345" s="4" t="s">
        <v>126</v>
      </c>
      <c r="C345" s="1" t="s">
        <v>127</v>
      </c>
    </row>
    <row r="346" spans="1:10" x14ac:dyDescent="0.25">
      <c r="B346" s="1" t="s">
        <v>210</v>
      </c>
      <c r="F346" s="2"/>
    </row>
    <row r="347" spans="1:10" x14ac:dyDescent="0.25">
      <c r="B347" s="86">
        <v>85</v>
      </c>
      <c r="C347" s="72" t="s">
        <v>81</v>
      </c>
      <c r="F347" s="68" t="str">
        <f>CONCATENATE(INT(F111/60)," min ",TEXT(ROUNDDOWN(MOD(ROUNDDOWN(F111,1),60),1),"00.0")," s")</f>
        <v>5 min 29.1 s</v>
      </c>
      <c r="G347" s="6" t="s">
        <v>229</v>
      </c>
      <c r="H347" s="1" t="str">
        <f>CONCATENATE("(",$F$322," /400 m)")</f>
        <v>(1 min 49.7 s /400 m)</v>
      </c>
      <c r="J347" s="67"/>
    </row>
    <row r="348" spans="1:10" x14ac:dyDescent="0.25">
      <c r="B348" s="86">
        <v>75</v>
      </c>
      <c r="C348" s="72" t="s">
        <v>81</v>
      </c>
      <c r="F348" s="68" t="str">
        <f>CONCATENATE(INT(F135/60)," min ",TEXT(ROUNDDOWN(MOD(ROUNDDOWN(F135,1),60),1),"00.0")," s")</f>
        <v>6 min 13.0 s</v>
      </c>
      <c r="G348" s="6" t="s">
        <v>229</v>
      </c>
      <c r="H348" s="1" t="str">
        <f>CONCATENATE("(",$F$323," /400 m)")</f>
        <v>(2 min 04.3 s /400 m)</v>
      </c>
    </row>
    <row r="349" spans="1:10" ht="8.25" customHeight="1" x14ac:dyDescent="0.25"/>
    <row r="350" spans="1:10" x14ac:dyDescent="0.25">
      <c r="A350" s="4" t="s">
        <v>128</v>
      </c>
      <c r="C350" s="1" t="s">
        <v>129</v>
      </c>
    </row>
    <row r="351" spans="1:10" x14ac:dyDescent="0.25">
      <c r="B351" s="1" t="s">
        <v>211</v>
      </c>
      <c r="F351" s="2"/>
    </row>
    <row r="352" spans="1:10" x14ac:dyDescent="0.25">
      <c r="B352" s="86">
        <v>85</v>
      </c>
      <c r="C352" s="72" t="s">
        <v>81</v>
      </c>
      <c r="F352" s="68" t="str">
        <f>CONCATENATE(INT(F112/60)," min ",TEXT(ROUNDDOWN(MOD(ROUNDDOWN(F112,1),60),1),"00.0")," s")</f>
        <v>7 min 18.8 s</v>
      </c>
      <c r="G352" s="6" t="s">
        <v>229</v>
      </c>
      <c r="H352" s="1" t="str">
        <f>CONCATENATE("(",$F$322," /400 m)")</f>
        <v>(1 min 49.7 s /400 m)</v>
      </c>
      <c r="J352" s="67"/>
    </row>
    <row r="353" spans="1:10" x14ac:dyDescent="0.25">
      <c r="B353" s="86">
        <v>75</v>
      </c>
      <c r="C353" s="72" t="s">
        <v>81</v>
      </c>
      <c r="F353" s="68" t="str">
        <f>CONCATENATE(INT(F136/60)," min ",TEXT(ROUNDDOWN(MOD(ROUNDDOWN(F136,1),60),1),"00.0")," s")</f>
        <v>8 min 17.4 s</v>
      </c>
      <c r="G353" s="6" t="s">
        <v>229</v>
      </c>
      <c r="H353" s="1" t="str">
        <f>CONCATENATE("(",$F$323," /400 m)")</f>
        <v>(2 min 04.3 s /400 m)</v>
      </c>
    </row>
    <row r="354" spans="1:10" ht="8.25" customHeight="1" x14ac:dyDescent="0.25"/>
    <row r="355" spans="1:10" x14ac:dyDescent="0.25">
      <c r="A355" s="4" t="s">
        <v>130</v>
      </c>
      <c r="C355" s="1" t="s">
        <v>122</v>
      </c>
    </row>
    <row r="356" spans="1:10" x14ac:dyDescent="0.25">
      <c r="B356" s="1" t="s">
        <v>212</v>
      </c>
      <c r="F356" s="2"/>
    </row>
    <row r="357" spans="1:10" x14ac:dyDescent="0.25">
      <c r="B357" s="86">
        <v>85</v>
      </c>
      <c r="C357" s="72" t="s">
        <v>81</v>
      </c>
      <c r="F357" s="68" t="str">
        <f>CONCATENATE(INT(F113/60)," min ",TEXT(ROUNDDOWN(MOD(ROUNDDOWN(F113,1),60),1),"00.0")," s")</f>
        <v>9 min 08.6 s</v>
      </c>
      <c r="G357" s="6" t="s">
        <v>229</v>
      </c>
      <c r="H357" s="1" t="str">
        <f>CONCATENATE("(",$F$322," /400 m)")</f>
        <v>(1 min 49.7 s /400 m)</v>
      </c>
      <c r="J357" s="67"/>
    </row>
    <row r="358" spans="1:10" x14ac:dyDescent="0.25">
      <c r="B358" s="86">
        <v>75</v>
      </c>
      <c r="C358" s="72" t="s">
        <v>81</v>
      </c>
      <c r="F358" s="68" t="str">
        <f>CONCATENATE(INT(F137/60)," min ",TEXT(ROUNDDOWN(MOD(ROUNDDOWN(F137,1),60),1),"00.0")," s")</f>
        <v>10 min 21.7 s</v>
      </c>
      <c r="G358" s="6" t="s">
        <v>229</v>
      </c>
      <c r="H358" s="1" t="str">
        <f>CONCATENATE("(",$F$323," /400 m)")</f>
        <v>(2 min 04.3 s /400 m)</v>
      </c>
    </row>
    <row r="359" spans="1:10" ht="8.25" customHeight="1" x14ac:dyDescent="0.25"/>
    <row r="360" spans="1:10" x14ac:dyDescent="0.25">
      <c r="A360" s="4" t="s">
        <v>131</v>
      </c>
      <c r="C360" s="1" t="s">
        <v>122</v>
      </c>
    </row>
    <row r="361" spans="1:10" x14ac:dyDescent="0.25">
      <c r="B361" s="1" t="s">
        <v>213</v>
      </c>
      <c r="F361" s="2"/>
    </row>
    <row r="362" spans="1:10" x14ac:dyDescent="0.25">
      <c r="B362" s="86">
        <v>85</v>
      </c>
      <c r="C362" s="72" t="s">
        <v>81</v>
      </c>
      <c r="F362" s="68" t="str">
        <f>CONCATENATE(INT(2*F113/60)," min ",TEXT(ROUNDDOWN(MOD(ROUNDDOWN(2*F113,1),60),1),"00.0")," s")</f>
        <v>18 min 17.2 s</v>
      </c>
      <c r="G362" s="6" t="s">
        <v>229</v>
      </c>
      <c r="H362" s="1" t="str">
        <f>CONCATENATE("(",$F$322," /400 m)")</f>
        <v>(1 min 49.7 s /400 m)</v>
      </c>
      <c r="J362" s="67"/>
    </row>
    <row r="363" spans="1:10" x14ac:dyDescent="0.25">
      <c r="B363" s="86">
        <v>75</v>
      </c>
      <c r="C363" s="72" t="s">
        <v>81</v>
      </c>
      <c r="F363" s="68" t="str">
        <f>CONCATENATE(INT(2*F137/60)," min ",TEXT(ROUNDDOWN(MOD(ROUNDDOWN(2*F137,1),60),1),"00.0")," s")</f>
        <v>20 min 43.5 s</v>
      </c>
      <c r="G363" s="6" t="s">
        <v>229</v>
      </c>
      <c r="H363" s="1" t="str">
        <f>CONCATENATE("(",$F$323," /400 m)")</f>
        <v>(2 min 04.3 s /400 m)</v>
      </c>
    </row>
    <row r="365" spans="1:10" x14ac:dyDescent="0.25">
      <c r="A365" s="66" t="s">
        <v>132</v>
      </c>
    </row>
    <row r="366" spans="1:10" x14ac:dyDescent="0.25">
      <c r="A366" s="3" t="s">
        <v>77</v>
      </c>
      <c r="B366" s="1" t="s">
        <v>133</v>
      </c>
    </row>
    <row r="367" spans="1:10" x14ac:dyDescent="0.25">
      <c r="B367" s="1" t="s">
        <v>134</v>
      </c>
    </row>
    <row r="368" spans="1:10" x14ac:dyDescent="0.25">
      <c r="B368" s="1" t="s">
        <v>135</v>
      </c>
    </row>
    <row r="369" spans="1:2" x14ac:dyDescent="0.25">
      <c r="B369" s="74" t="s">
        <v>136</v>
      </c>
    </row>
    <row r="370" spans="1:2" x14ac:dyDescent="0.25">
      <c r="B370" s="74" t="s">
        <v>137</v>
      </c>
    </row>
    <row r="371" spans="1:2" x14ac:dyDescent="0.25">
      <c r="B371" s="74" t="s">
        <v>138</v>
      </c>
    </row>
    <row r="372" spans="1:2" x14ac:dyDescent="0.25">
      <c r="B372" s="74" t="s">
        <v>139</v>
      </c>
    </row>
    <row r="373" spans="1:2" x14ac:dyDescent="0.25">
      <c r="B373" s="74" t="s">
        <v>140</v>
      </c>
    </row>
    <row r="374" spans="1:2" x14ac:dyDescent="0.25">
      <c r="A374" s="3" t="s">
        <v>77</v>
      </c>
      <c r="B374" s="1" t="s">
        <v>141</v>
      </c>
    </row>
    <row r="375" spans="1:2" x14ac:dyDescent="0.25">
      <c r="A375" s="3" t="s">
        <v>77</v>
      </c>
      <c r="B375" s="1" t="s">
        <v>182</v>
      </c>
    </row>
    <row r="376" spans="1:2" x14ac:dyDescent="0.25">
      <c r="B376" s="1" t="s">
        <v>228</v>
      </c>
    </row>
    <row r="377" spans="1:2" x14ac:dyDescent="0.25">
      <c r="B377" s="1" t="s">
        <v>142</v>
      </c>
    </row>
    <row r="378" spans="1:2" x14ac:dyDescent="0.25">
      <c r="B378" s="74" t="s">
        <v>249</v>
      </c>
    </row>
    <row r="379" spans="1:2" x14ac:dyDescent="0.25">
      <c r="B379" s="1" t="s">
        <v>248</v>
      </c>
    </row>
    <row r="380" spans="1:2" x14ac:dyDescent="0.25">
      <c r="B380" s="74" t="s">
        <v>250</v>
      </c>
    </row>
    <row r="381" spans="1:2" x14ac:dyDescent="0.25">
      <c r="B381" s="1" t="s">
        <v>247</v>
      </c>
    </row>
    <row r="382" spans="1:2" x14ac:dyDescent="0.25">
      <c r="A382" s="3" t="s">
        <v>77</v>
      </c>
      <c r="B382" s="1" t="s">
        <v>183</v>
      </c>
    </row>
    <row r="383" spans="1:2" x14ac:dyDescent="0.25">
      <c r="B383" s="74" t="s">
        <v>143</v>
      </c>
    </row>
    <row r="385" spans="1:9" x14ac:dyDescent="0.25">
      <c r="A385" s="4" t="s">
        <v>99</v>
      </c>
      <c r="C385" s="1" t="s">
        <v>144</v>
      </c>
    </row>
    <row r="386" spans="1:9" x14ac:dyDescent="0.25">
      <c r="A386" s="4"/>
      <c r="B386" s="1" t="s">
        <v>184</v>
      </c>
    </row>
    <row r="387" spans="1:9" x14ac:dyDescent="0.25">
      <c r="B387" s="1" t="s">
        <v>146</v>
      </c>
      <c r="F387" s="2"/>
      <c r="I387" s="2"/>
    </row>
    <row r="388" spans="1:9" x14ac:dyDescent="0.25">
      <c r="B388" s="86">
        <v>115</v>
      </c>
      <c r="C388" s="72" t="s">
        <v>81</v>
      </c>
      <c r="F388" s="68" t="str">
        <f>CONCATENATE(INT(F32/60)," min ",TEXT(ROUNDDOWN(MOD(ROUNDDOWN(F32,1),60),1),"00.0")," s")</f>
        <v>0 min 20.2 s</v>
      </c>
      <c r="G388" s="6" t="s">
        <v>229</v>
      </c>
    </row>
    <row r="389" spans="1:9" x14ac:dyDescent="0.25">
      <c r="B389" s="86">
        <v>105</v>
      </c>
      <c r="C389" s="72" t="s">
        <v>81</v>
      </c>
      <c r="F389" s="68" t="str">
        <f>CONCATENATE(INT(F56/60)," min ",TEXT(ROUNDDOWN(MOD(ROUNDDOWN(F56,1),60),1),"00.0")," s")</f>
        <v>0 min 22.2 s</v>
      </c>
      <c r="G389" s="6" t="s">
        <v>229</v>
      </c>
    </row>
    <row r="390" spans="1:9" ht="8.25" customHeight="1" x14ac:dyDescent="0.25"/>
    <row r="391" spans="1:9" x14ac:dyDescent="0.25">
      <c r="A391" s="4" t="s">
        <v>100</v>
      </c>
      <c r="C391" s="1" t="s">
        <v>145</v>
      </c>
    </row>
    <row r="392" spans="1:9" x14ac:dyDescent="0.25">
      <c r="A392" s="4"/>
      <c r="B392" s="1" t="s">
        <v>185</v>
      </c>
    </row>
    <row r="393" spans="1:9" x14ac:dyDescent="0.25">
      <c r="B393" s="86">
        <v>115</v>
      </c>
      <c r="C393" s="72" t="s">
        <v>81</v>
      </c>
      <c r="F393" s="68" t="str">
        <f>CONCATENATE(INT(F32/60)," min ",TEXT(ROUNDDOWN(MOD(ROUNDDOWN(F32,1),60),1),"00.0")," s")</f>
        <v>0 min 20.2 s</v>
      </c>
      <c r="G393" s="6" t="s">
        <v>229</v>
      </c>
    </row>
    <row r="394" spans="1:9" x14ac:dyDescent="0.25">
      <c r="B394" s="86">
        <v>105</v>
      </c>
      <c r="C394" s="72" t="s">
        <v>81</v>
      </c>
      <c r="F394" s="68" t="str">
        <f>CONCATENATE(INT(F56/60)," min ",TEXT(ROUNDDOWN(MOD(ROUNDDOWN(F56,1),60),1),"00.0")," s")</f>
        <v>0 min 22.2 s</v>
      </c>
      <c r="G394" s="6" t="s">
        <v>229</v>
      </c>
    </row>
    <row r="395" spans="1:9" ht="8.25" customHeight="1" x14ac:dyDescent="0.25"/>
    <row r="396" spans="1:9" x14ac:dyDescent="0.25">
      <c r="A396" s="4" t="s">
        <v>102</v>
      </c>
      <c r="C396" s="1" t="s">
        <v>152</v>
      </c>
    </row>
    <row r="397" spans="1:9" x14ac:dyDescent="0.25">
      <c r="A397" s="4"/>
      <c r="B397" s="1" t="s">
        <v>186</v>
      </c>
    </row>
    <row r="398" spans="1:9" x14ac:dyDescent="0.25">
      <c r="A398" s="4"/>
      <c r="B398" s="1" t="s">
        <v>146</v>
      </c>
    </row>
    <row r="399" spans="1:9" x14ac:dyDescent="0.25">
      <c r="B399" s="86">
        <v>115</v>
      </c>
      <c r="C399" s="72" t="s">
        <v>81</v>
      </c>
      <c r="F399" s="68" t="str">
        <f>CONCATENATE(INT(F33/60)," min ",TEXT(ROUNDDOWN(MOD(ROUNDDOWN(F33,1),60),1),"00.0")," s")</f>
        <v>0 min 40.5 s</v>
      </c>
      <c r="G399" s="6" t="s">
        <v>229</v>
      </c>
    </row>
    <row r="400" spans="1:9" x14ac:dyDescent="0.25">
      <c r="B400" s="86">
        <v>105</v>
      </c>
      <c r="C400" s="72" t="s">
        <v>81</v>
      </c>
      <c r="F400" s="68" t="str">
        <f>CONCATENATE(INT(F57/60)," min ",TEXT(ROUNDDOWN(MOD(ROUNDDOWN(F57,1),60),1),"00.0")," s")</f>
        <v>0 min 44.4 s</v>
      </c>
      <c r="G400" s="6" t="s">
        <v>229</v>
      </c>
    </row>
    <row r="401" spans="1:7" ht="8.25" customHeight="1" x14ac:dyDescent="0.25"/>
    <row r="402" spans="1:7" x14ac:dyDescent="0.25">
      <c r="A402" s="4" t="s">
        <v>103</v>
      </c>
      <c r="C402" s="1" t="s">
        <v>153</v>
      </c>
    </row>
    <row r="403" spans="1:7" x14ac:dyDescent="0.25">
      <c r="A403" s="4"/>
      <c r="B403" s="1" t="s">
        <v>187</v>
      </c>
    </row>
    <row r="404" spans="1:7" x14ac:dyDescent="0.25">
      <c r="B404" s="86">
        <v>115</v>
      </c>
      <c r="C404" s="72" t="s">
        <v>81</v>
      </c>
      <c r="F404" s="68" t="str">
        <f>CONCATENATE(INT(F33/60)," min ",TEXT(ROUNDDOWN(MOD(ROUNDDOWN(F33,1),60),1),"00.0")," s")</f>
        <v>0 min 40.5 s</v>
      </c>
      <c r="G404" s="6" t="s">
        <v>229</v>
      </c>
    </row>
    <row r="405" spans="1:7" x14ac:dyDescent="0.25">
      <c r="B405" s="86">
        <v>105</v>
      </c>
      <c r="C405" s="72" t="s">
        <v>81</v>
      </c>
      <c r="F405" s="68" t="str">
        <f>CONCATENATE(INT(F57/60)," min ",TEXT(ROUNDDOWN(MOD(ROUNDDOWN(F57,1),60),1),"00.0")," s")</f>
        <v>0 min 44.4 s</v>
      </c>
      <c r="G405" s="6" t="s">
        <v>229</v>
      </c>
    </row>
    <row r="406" spans="1:7" ht="8.25" customHeight="1" x14ac:dyDescent="0.25"/>
    <row r="407" spans="1:7" x14ac:dyDescent="0.25">
      <c r="A407" s="4" t="s">
        <v>105</v>
      </c>
      <c r="C407" s="1" t="s">
        <v>154</v>
      </c>
    </row>
    <row r="408" spans="1:7" x14ac:dyDescent="0.25">
      <c r="A408" s="4"/>
      <c r="B408" s="1" t="s">
        <v>188</v>
      </c>
    </row>
    <row r="409" spans="1:7" x14ac:dyDescent="0.25">
      <c r="B409" s="86">
        <v>115</v>
      </c>
      <c r="C409" s="72" t="s">
        <v>81</v>
      </c>
      <c r="F409" s="68" t="str">
        <f>CONCATENATE(INT(F34/60)," min ",TEXT(ROUNDDOWN(MOD(ROUNDDOWN(F34,1),60),1),"00.0")," s")</f>
        <v>1 min 00.7 s</v>
      </c>
      <c r="G409" s="6" t="s">
        <v>229</v>
      </c>
    </row>
    <row r="410" spans="1:7" x14ac:dyDescent="0.25">
      <c r="B410" s="86">
        <v>105</v>
      </c>
      <c r="C410" s="72" t="s">
        <v>81</v>
      </c>
      <c r="F410" s="68" t="str">
        <f>CONCATENATE(INT(F58/60)," min ",TEXT(ROUNDDOWN(MOD(ROUNDDOWN(F58,1),60),1),"00.0")," s")</f>
        <v>1 min 06.5 s</v>
      </c>
      <c r="G410" s="6" t="s">
        <v>229</v>
      </c>
    </row>
    <row r="411" spans="1:7" ht="8.25" customHeight="1" x14ac:dyDescent="0.25"/>
    <row r="412" spans="1:7" x14ac:dyDescent="0.25">
      <c r="A412" s="4" t="s">
        <v>107</v>
      </c>
      <c r="C412" s="1" t="s">
        <v>152</v>
      </c>
    </row>
    <row r="413" spans="1:7" x14ac:dyDescent="0.25">
      <c r="A413" s="4"/>
      <c r="B413" s="1" t="s">
        <v>189</v>
      </c>
    </row>
    <row r="414" spans="1:7" x14ac:dyDescent="0.25">
      <c r="B414" s="86">
        <v>115</v>
      </c>
      <c r="C414" s="72" t="s">
        <v>81</v>
      </c>
      <c r="F414" s="68" t="str">
        <f>CONCATENATE(INT(F35/60)," min ",TEXT(ROUNDDOWN(MOD(ROUNDDOWN(F35,1),60),1),"00.0")," s")</f>
        <v>1 min 21.0 s</v>
      </c>
      <c r="G414" s="6" t="s">
        <v>229</v>
      </c>
    </row>
    <row r="415" spans="1:7" x14ac:dyDescent="0.25">
      <c r="B415" s="86">
        <v>105</v>
      </c>
      <c r="C415" s="72" t="s">
        <v>81</v>
      </c>
      <c r="F415" s="68" t="str">
        <f>CONCATENATE(INT(F59/60)," min ",TEXT(ROUNDDOWN(MOD(ROUNDDOWN(F59,1),60),1),"00.0")," s")</f>
        <v>1 min 28.8 s</v>
      </c>
      <c r="G415" s="6" t="s">
        <v>229</v>
      </c>
    </row>
    <row r="416" spans="1:7" ht="8.25" customHeight="1" x14ac:dyDescent="0.25"/>
    <row r="417" spans="1:8" x14ac:dyDescent="0.25">
      <c r="A417" s="4" t="s">
        <v>123</v>
      </c>
      <c r="C417" s="1" t="s">
        <v>155</v>
      </c>
    </row>
    <row r="418" spans="1:8" x14ac:dyDescent="0.25">
      <c r="A418" s="4"/>
      <c r="B418" s="1" t="s">
        <v>190</v>
      </c>
    </row>
    <row r="419" spans="1:8" x14ac:dyDescent="0.25">
      <c r="B419" s="86">
        <v>95</v>
      </c>
      <c r="C419" s="72" t="s">
        <v>81</v>
      </c>
      <c r="F419" s="68" t="str">
        <f>CONCATENATE(INT(F84/60)," min ",TEXT(ROUNDDOWN(MOD(ROUNDDOWN(F84,1),60),1),"00.0")," s")</f>
        <v>2 min 27.2 s</v>
      </c>
      <c r="G419" s="6" t="s">
        <v>229</v>
      </c>
      <c r="H419" s="1" t="str">
        <f>CONCATENATE("(",CONCATENATE(INT(F$83/60)," min ",TEXT(ROUNDDOWN(MOD(ROUNDDOWN(F$83,1),60),1),"00.0")," s")," /400 m)")</f>
        <v>(1 min 38.1 s /400 m)</v>
      </c>
    </row>
    <row r="420" spans="1:8" x14ac:dyDescent="0.25">
      <c r="B420" s="86">
        <v>90</v>
      </c>
      <c r="C420" s="72" t="s">
        <v>81</v>
      </c>
      <c r="F420" s="68" t="str">
        <f>CONCATENATE(INT(F96/60)," min ",TEXT(ROUNDDOWN(MOD(ROUNDDOWN(F96,1),60),1),"00.0")," s")</f>
        <v>2 min 35.4 s</v>
      </c>
      <c r="G420" s="6" t="s">
        <v>229</v>
      </c>
      <c r="H420" s="1" t="str">
        <f>CONCATENATE("(",CONCATENATE(INT(F$95/60)," min ",TEXT(ROUNDDOWN(MOD(ROUNDDOWN(F$95,1),60),1),"00.0")," s")," /400 m)")</f>
        <v>(1 min 43.6 s /400 m)</v>
      </c>
    </row>
    <row r="421" spans="1:8" ht="8.25" customHeight="1" x14ac:dyDescent="0.25"/>
    <row r="422" spans="1:8" x14ac:dyDescent="0.25">
      <c r="A422" s="4" t="s">
        <v>124</v>
      </c>
      <c r="C422" s="1" t="s">
        <v>156</v>
      </c>
    </row>
    <row r="423" spans="1:8" x14ac:dyDescent="0.25">
      <c r="A423" s="4"/>
      <c r="B423" s="1" t="s">
        <v>191</v>
      </c>
    </row>
    <row r="424" spans="1:8" x14ac:dyDescent="0.25">
      <c r="B424" s="86">
        <v>95</v>
      </c>
      <c r="C424" s="72" t="s">
        <v>81</v>
      </c>
      <c r="F424" s="68" t="str">
        <f>CONCATENATE(INT(F85/60)," min ",TEXT(ROUNDDOWN(MOD(ROUNDDOWN(F85,1),60),1),"00.0")," s")</f>
        <v>3 min 16.3 s</v>
      </c>
      <c r="G424" s="6" t="s">
        <v>229</v>
      </c>
      <c r="H424" s="1" t="str">
        <f>CONCATENATE("(",CONCATENATE(INT(F$83/60)," min ",TEXT(ROUNDDOWN(MOD(ROUNDDOWN(F$83,1),60),1),"00.0")," s")," /400 m)")</f>
        <v>(1 min 38.1 s /400 m)</v>
      </c>
    </row>
    <row r="425" spans="1:8" x14ac:dyDescent="0.25">
      <c r="B425" s="86">
        <v>90</v>
      </c>
      <c r="C425" s="72" t="s">
        <v>81</v>
      </c>
      <c r="F425" s="68" t="str">
        <f>CONCATENATE(INT(F97/60)," min ",TEXT(ROUNDDOWN(MOD(ROUNDDOWN(F97,1),60),1),"00.0")," s")</f>
        <v>3 min 27.2 s</v>
      </c>
      <c r="G425" s="6" t="s">
        <v>229</v>
      </c>
      <c r="H425" s="1" t="str">
        <f>CONCATENATE("(",CONCATENATE(INT(F$95/60)," min ",TEXT(ROUNDDOWN(MOD(ROUNDDOWN(F$95,1),60),1),"00.0")," s")," /400 m)")</f>
        <v>(1 min 43.6 s /400 m)</v>
      </c>
    </row>
    <row r="426" spans="1:8" ht="8.25" customHeight="1" x14ac:dyDescent="0.25"/>
    <row r="427" spans="1:8" x14ac:dyDescent="0.25">
      <c r="A427" s="4" t="s">
        <v>126</v>
      </c>
      <c r="C427" s="1" t="s">
        <v>157</v>
      </c>
    </row>
    <row r="428" spans="1:8" x14ac:dyDescent="0.25">
      <c r="A428" s="4"/>
      <c r="B428" s="1" t="s">
        <v>192</v>
      </c>
    </row>
    <row r="429" spans="1:8" x14ac:dyDescent="0.25">
      <c r="B429" s="86">
        <v>95</v>
      </c>
      <c r="C429" s="72" t="s">
        <v>81</v>
      </c>
      <c r="F429" s="68" t="str">
        <f>CONCATENATE(INT(F86/60)," min ",TEXT(ROUNDDOWN(MOD(ROUNDDOWN(F86,1),60),1),"00.0")," s")</f>
        <v>4 min 05.4 s</v>
      </c>
      <c r="G429" s="6" t="s">
        <v>229</v>
      </c>
      <c r="H429" s="1" t="str">
        <f>CONCATENATE("(",CONCATENATE(INT(F$83/60)," min ",TEXT(ROUNDDOWN(MOD(ROUNDDOWN(F$83,1),60),1),"00.0")," s")," /400 m)")</f>
        <v>(1 min 38.1 s /400 m)</v>
      </c>
    </row>
    <row r="430" spans="1:8" x14ac:dyDescent="0.25">
      <c r="B430" s="86">
        <v>90</v>
      </c>
      <c r="C430" s="72" t="s">
        <v>81</v>
      </c>
      <c r="F430" s="68" t="str">
        <f>CONCATENATE(INT(F98/60)," min ",TEXT(ROUNDDOWN(MOD(ROUNDDOWN(F98,1),60),1),"00.0")," s")</f>
        <v>4 min 19.0 s</v>
      </c>
      <c r="G430" s="6" t="s">
        <v>229</v>
      </c>
      <c r="H430" s="1" t="str">
        <f>CONCATENATE("(",CONCATENATE(INT(F$95/60)," min ",TEXT(ROUNDDOWN(MOD(ROUNDDOWN(F$95,1),60),1),"00.0")," s")," /400 m)")</f>
        <v>(1 min 43.6 s /400 m)</v>
      </c>
    </row>
    <row r="431" spans="1:8" ht="8.25" customHeight="1" x14ac:dyDescent="0.25"/>
    <row r="432" spans="1:8" x14ac:dyDescent="0.25">
      <c r="A432" s="4" t="s">
        <v>128</v>
      </c>
      <c r="C432" s="1" t="s">
        <v>158</v>
      </c>
    </row>
    <row r="433" spans="1:8" x14ac:dyDescent="0.25">
      <c r="A433" s="4"/>
      <c r="B433" s="1" t="s">
        <v>193</v>
      </c>
    </row>
    <row r="434" spans="1:8" x14ac:dyDescent="0.25">
      <c r="B434" s="86">
        <v>95</v>
      </c>
      <c r="C434" s="72" t="s">
        <v>81</v>
      </c>
      <c r="F434" s="68" t="str">
        <f>CONCATENATE(INT(F87/60)," min ",TEXT(ROUNDDOWN(MOD(ROUNDDOWN(F87,1),60),1),"00.0")," s")</f>
        <v>4 min 54.5 s</v>
      </c>
      <c r="G434" s="6" t="s">
        <v>229</v>
      </c>
      <c r="H434" s="1" t="str">
        <f>CONCATENATE("(",CONCATENATE(INT(F$83/60)," min ",TEXT(ROUNDDOWN(MOD(ROUNDDOWN(F$83,1),60),1),"00.0")," s")," /400 m)")</f>
        <v>(1 min 38.1 s /400 m)</v>
      </c>
    </row>
    <row r="435" spans="1:8" x14ac:dyDescent="0.25">
      <c r="B435" s="86">
        <v>90</v>
      </c>
      <c r="C435" s="72" t="s">
        <v>81</v>
      </c>
      <c r="F435" s="68" t="str">
        <f>CONCATENATE(INT(F99/60)," min ",TEXT(ROUNDDOWN(MOD(ROUNDDOWN(F99,1),60),1),"00.0")," s")</f>
        <v>5 min 10.8 s</v>
      </c>
      <c r="G435" s="6" t="s">
        <v>229</v>
      </c>
      <c r="H435" s="1" t="str">
        <f>CONCATENATE("(",CONCATENATE(INT(F$95/60)," min ",TEXT(ROUNDDOWN(MOD(ROUNDDOWN(F$95,1),60),1),"00.0")," s")," /400 m)")</f>
        <v>(1 min 43.6 s /400 m)</v>
      </c>
    </row>
    <row r="437" spans="1:8" x14ac:dyDescent="0.25">
      <c r="A437" s="66" t="s">
        <v>159</v>
      </c>
    </row>
    <row r="438" spans="1:8" x14ac:dyDescent="0.25">
      <c r="A438" s="3" t="s">
        <v>77</v>
      </c>
      <c r="B438" s="1" t="s">
        <v>168</v>
      </c>
    </row>
    <row r="439" spans="1:8" x14ac:dyDescent="0.25">
      <c r="B439" s="1" t="s">
        <v>169</v>
      </c>
    </row>
    <row r="440" spans="1:8" x14ac:dyDescent="0.25">
      <c r="B440" s="1" t="s">
        <v>170</v>
      </c>
    </row>
    <row r="441" spans="1:8" x14ac:dyDescent="0.25">
      <c r="A441" s="3" t="s">
        <v>77</v>
      </c>
      <c r="B441" s="1" t="s">
        <v>194</v>
      </c>
    </row>
    <row r="442" spans="1:8" x14ac:dyDescent="0.25">
      <c r="B442" s="1" t="s">
        <v>230</v>
      </c>
    </row>
    <row r="443" spans="1:8" x14ac:dyDescent="0.25">
      <c r="B443" s="1" t="s">
        <v>224</v>
      </c>
    </row>
    <row r="444" spans="1:8" x14ac:dyDescent="0.25">
      <c r="A444" s="3" t="s">
        <v>231</v>
      </c>
      <c r="B444" s="74" t="s">
        <v>232</v>
      </c>
    </row>
    <row r="445" spans="1:8" x14ac:dyDescent="0.25">
      <c r="A445" s="3"/>
      <c r="B445" s="74" t="s">
        <v>234</v>
      </c>
    </row>
    <row r="446" spans="1:8" x14ac:dyDescent="0.25">
      <c r="A446" s="3"/>
      <c r="B446" s="74" t="s">
        <v>233</v>
      </c>
    </row>
    <row r="447" spans="1:8" x14ac:dyDescent="0.25">
      <c r="A447" s="3" t="s">
        <v>77</v>
      </c>
      <c r="B447" s="1" t="s">
        <v>195</v>
      </c>
    </row>
    <row r="448" spans="1:8" x14ac:dyDescent="0.25">
      <c r="B448" s="1" t="s">
        <v>160</v>
      </c>
    </row>
    <row r="449" spans="1:11" x14ac:dyDescent="0.25">
      <c r="E449" s="14" t="s">
        <v>235</v>
      </c>
    </row>
    <row r="450" spans="1:11" ht="23.25" x14ac:dyDescent="0.25">
      <c r="A450" s="70" t="s">
        <v>218</v>
      </c>
      <c r="C450" s="95">
        <v>100</v>
      </c>
      <c r="D450" s="1" t="s">
        <v>252</v>
      </c>
      <c r="E450" s="82">
        <v>0</v>
      </c>
      <c r="F450" s="1" t="s">
        <v>219</v>
      </c>
      <c r="G450" s="83">
        <v>15.2</v>
      </c>
      <c r="H450" s="1" t="s">
        <v>220</v>
      </c>
      <c r="I450" s="1" t="s">
        <v>221</v>
      </c>
      <c r="J450" s="13">
        <f>C450/(60*E450+G450)</f>
        <v>6.5789473684210531</v>
      </c>
      <c r="K450" s="1" t="s">
        <v>222</v>
      </c>
    </row>
    <row r="451" spans="1:11" ht="8.25" customHeight="1" x14ac:dyDescent="0.25">
      <c r="B451" s="70"/>
      <c r="C451" s="95"/>
      <c r="E451" s="81"/>
      <c r="G451" s="80"/>
      <c r="J451" s="13"/>
    </row>
    <row r="452" spans="1:11" ht="23.25" x14ac:dyDescent="0.25">
      <c r="C452" s="95">
        <v>200</v>
      </c>
      <c r="D452" s="1" t="s">
        <v>252</v>
      </c>
      <c r="E452" s="82">
        <v>0</v>
      </c>
      <c r="F452" s="1" t="s">
        <v>219</v>
      </c>
      <c r="G452" s="83">
        <v>31</v>
      </c>
      <c r="H452" s="1" t="s">
        <v>220</v>
      </c>
      <c r="I452" s="1" t="s">
        <v>221</v>
      </c>
      <c r="J452" s="13">
        <f>C452/(60*E452+G452)</f>
        <v>6.4516129032258061</v>
      </c>
      <c r="K452" s="1" t="s">
        <v>222</v>
      </c>
    </row>
    <row r="453" spans="1:11" ht="8.25" customHeight="1" x14ac:dyDescent="0.25">
      <c r="C453" s="95"/>
      <c r="E453" s="81"/>
      <c r="G453" s="80"/>
      <c r="J453" s="13"/>
    </row>
    <row r="454" spans="1:11" ht="23.25" x14ac:dyDescent="0.25">
      <c r="C454" s="95">
        <v>300</v>
      </c>
      <c r="D454" s="1" t="s">
        <v>253</v>
      </c>
      <c r="E454" s="82">
        <v>0</v>
      </c>
      <c r="F454" s="1" t="s">
        <v>219</v>
      </c>
      <c r="G454" s="83">
        <v>49</v>
      </c>
      <c r="H454" s="1" t="s">
        <v>220</v>
      </c>
      <c r="I454" s="1" t="s">
        <v>221</v>
      </c>
      <c r="J454" s="13">
        <f>C454/(60*E454+G454)</f>
        <v>6.1224489795918364</v>
      </c>
      <c r="K454" s="1" t="s">
        <v>222</v>
      </c>
    </row>
    <row r="455" spans="1:11" ht="8.25" customHeight="1" x14ac:dyDescent="0.25">
      <c r="C455" s="95"/>
      <c r="E455" s="93"/>
      <c r="G455" s="94"/>
      <c r="J455" s="13"/>
    </row>
    <row r="456" spans="1:11" ht="23.25" x14ac:dyDescent="0.25">
      <c r="C456" s="95">
        <v>400</v>
      </c>
      <c r="D456" s="1" t="s">
        <v>252</v>
      </c>
      <c r="E456" s="82">
        <v>1</v>
      </c>
      <c r="F456" s="1" t="s">
        <v>1</v>
      </c>
      <c r="G456" s="83">
        <v>7</v>
      </c>
      <c r="H456" s="1" t="s">
        <v>0</v>
      </c>
      <c r="I456" s="1" t="s">
        <v>17</v>
      </c>
      <c r="J456" s="13">
        <f>C456/(60*E456+G456)</f>
        <v>5.9701492537313436</v>
      </c>
      <c r="K456" s="1" t="s">
        <v>14</v>
      </c>
    </row>
    <row r="458" spans="1:11" x14ac:dyDescent="0.25">
      <c r="A458" s="4" t="s">
        <v>99</v>
      </c>
    </row>
    <row r="459" spans="1:11" x14ac:dyDescent="0.25">
      <c r="A459" s="4"/>
      <c r="B459" s="1" t="s">
        <v>223</v>
      </c>
    </row>
    <row r="460" spans="1:11" x14ac:dyDescent="0.25">
      <c r="B460" s="92">
        <v>100</v>
      </c>
      <c r="C460" s="72" t="s">
        <v>251</v>
      </c>
      <c r="E460" s="2">
        <f>INT(100/J450/60)</f>
        <v>0</v>
      </c>
      <c r="F460" s="84" t="s">
        <v>219</v>
      </c>
      <c r="G460" s="68" t="str">
        <f>TEXT(MOD(ROUNDDOWN(100/J450,2),60),"00.00")</f>
        <v>15.20</v>
      </c>
      <c r="H460" s="1" t="s">
        <v>220</v>
      </c>
      <c r="I460" s="1" t="s">
        <v>119</v>
      </c>
    </row>
    <row r="461" spans="1:11" x14ac:dyDescent="0.25">
      <c r="B461" s="92">
        <v>97.5</v>
      </c>
      <c r="C461" s="72" t="s">
        <v>251</v>
      </c>
      <c r="E461" s="2">
        <f>INT(100/(J450*0.975)/60)</f>
        <v>0</v>
      </c>
      <c r="F461" s="84" t="s">
        <v>219</v>
      </c>
      <c r="G461" s="68" t="str">
        <f>TEXT(MOD(ROUNDDOWN(100/(J450*0.975),2),60),"00.00")</f>
        <v>15.58</v>
      </c>
      <c r="H461" s="1" t="s">
        <v>220</v>
      </c>
      <c r="I461" s="1" t="s">
        <v>119</v>
      </c>
    </row>
    <row r="462" spans="1:11" x14ac:dyDescent="0.25">
      <c r="B462" s="92">
        <v>95</v>
      </c>
      <c r="C462" s="72" t="s">
        <v>251</v>
      </c>
      <c r="E462" s="2">
        <f>INT(100/(J450*0.95)/60)</f>
        <v>0</v>
      </c>
      <c r="F462" s="84" t="s">
        <v>219</v>
      </c>
      <c r="G462" s="68" t="str">
        <f>TEXT(MOD(ROUNDDOWN(100/(J450*0.95),2),60),"00.00")</f>
        <v>16.00</v>
      </c>
      <c r="H462" s="1" t="s">
        <v>220</v>
      </c>
      <c r="I462" s="1" t="s">
        <v>119</v>
      </c>
    </row>
    <row r="463" spans="1:11" ht="8.25" customHeight="1" x14ac:dyDescent="0.25">
      <c r="B463" s="85"/>
      <c r="C463" s="72"/>
      <c r="E463" s="2"/>
      <c r="F463" s="84"/>
      <c r="G463" s="68"/>
    </row>
    <row r="464" spans="1:11" x14ac:dyDescent="0.25">
      <c r="A464" s="4" t="s">
        <v>100</v>
      </c>
    </row>
    <row r="465" spans="1:9" x14ac:dyDescent="0.25">
      <c r="A465" s="4"/>
      <c r="B465" s="1" t="s">
        <v>256</v>
      </c>
    </row>
    <row r="466" spans="1:9" x14ac:dyDescent="0.25">
      <c r="B466" s="92">
        <v>100</v>
      </c>
      <c r="C466" s="72" t="s">
        <v>251</v>
      </c>
      <c r="E466" s="2">
        <f>INT(200/J452/60)</f>
        <v>0</v>
      </c>
      <c r="F466" s="84" t="s">
        <v>219</v>
      </c>
      <c r="G466" s="68" t="str">
        <f>TEXT(MOD(ROUNDDOWN(200/J452,2),60),"00.00")</f>
        <v>31.00</v>
      </c>
      <c r="H466" s="1" t="s">
        <v>220</v>
      </c>
      <c r="I466" s="1" t="s">
        <v>119</v>
      </c>
    </row>
    <row r="467" spans="1:9" x14ac:dyDescent="0.25">
      <c r="B467" s="92">
        <v>97.5</v>
      </c>
      <c r="C467" s="72" t="s">
        <v>251</v>
      </c>
      <c r="E467" s="2">
        <f>INT(200/(J452*0.975)/60)</f>
        <v>0</v>
      </c>
      <c r="F467" s="84" t="s">
        <v>219</v>
      </c>
      <c r="G467" s="68" t="str">
        <f>TEXT(MOD(ROUNDDOWN(200/(J452*0.975),2),60),"00.00")</f>
        <v>31.79</v>
      </c>
      <c r="H467" s="1" t="s">
        <v>220</v>
      </c>
      <c r="I467" s="1" t="s">
        <v>119</v>
      </c>
    </row>
    <row r="468" spans="1:9" x14ac:dyDescent="0.25">
      <c r="B468" s="92">
        <v>95</v>
      </c>
      <c r="C468" s="72" t="s">
        <v>251</v>
      </c>
      <c r="E468" s="2">
        <f>INT(200/(J452*0.95)/60)</f>
        <v>0</v>
      </c>
      <c r="F468" s="84" t="s">
        <v>219</v>
      </c>
      <c r="G468" s="68" t="str">
        <f>TEXT(MOD(ROUNDDOWN(200/(J452*0.95),2),60),"00.00")</f>
        <v>32.63</v>
      </c>
      <c r="H468" s="1" t="s">
        <v>220</v>
      </c>
      <c r="I468" s="1" t="s">
        <v>119</v>
      </c>
    </row>
    <row r="469" spans="1:9" ht="8.25" customHeight="1" x14ac:dyDescent="0.25">
      <c r="B469" s="85"/>
      <c r="C469" s="72"/>
      <c r="E469" s="2"/>
      <c r="F469" s="84"/>
      <c r="G469" s="68"/>
    </row>
    <row r="470" spans="1:9" x14ac:dyDescent="0.25">
      <c r="A470" s="4" t="s">
        <v>102</v>
      </c>
    </row>
    <row r="471" spans="1:9" x14ac:dyDescent="0.25">
      <c r="A471" s="4"/>
      <c r="B471" s="1" t="s">
        <v>257</v>
      </c>
    </row>
    <row r="472" spans="1:9" x14ac:dyDescent="0.25">
      <c r="B472" s="92">
        <v>100</v>
      </c>
      <c r="C472" s="72" t="s">
        <v>251</v>
      </c>
      <c r="E472" s="2">
        <f>INT(300/J454/60)</f>
        <v>0</v>
      </c>
      <c r="F472" s="84" t="s">
        <v>219</v>
      </c>
      <c r="G472" s="68" t="str">
        <f>TEXT(MOD(ROUNDDOWN(300/J454,2),60),"00.00")</f>
        <v>49.00</v>
      </c>
      <c r="H472" s="1" t="s">
        <v>220</v>
      </c>
      <c r="I472" s="1" t="s">
        <v>119</v>
      </c>
    </row>
    <row r="473" spans="1:9" x14ac:dyDescent="0.25">
      <c r="B473" s="92">
        <v>97.5</v>
      </c>
      <c r="C473" s="72" t="s">
        <v>251</v>
      </c>
      <c r="E473" s="2">
        <f>INT(300/(J454*0.975)/60)</f>
        <v>0</v>
      </c>
      <c r="F473" s="84" t="s">
        <v>219</v>
      </c>
      <c r="G473" s="68" t="str">
        <f>TEXT(MOD(ROUNDDOWN(300/(J454*0.975),2),60),"00.00")</f>
        <v>50.25</v>
      </c>
      <c r="H473" s="1" t="s">
        <v>220</v>
      </c>
      <c r="I473" s="1" t="s">
        <v>119</v>
      </c>
    </row>
    <row r="474" spans="1:9" x14ac:dyDescent="0.25">
      <c r="B474" s="92">
        <v>95</v>
      </c>
      <c r="C474" s="72" t="s">
        <v>251</v>
      </c>
      <c r="E474" s="2">
        <f>INT(300/(J454*0.95)/60)</f>
        <v>0</v>
      </c>
      <c r="F474" s="84" t="s">
        <v>219</v>
      </c>
      <c r="G474" s="68" t="str">
        <f>TEXT(MOD(ROUNDDOWN(300/(J454*0.95),2),60),"00.00")</f>
        <v>51.57</v>
      </c>
      <c r="H474" s="1" t="s">
        <v>220</v>
      </c>
      <c r="I474" s="1" t="s">
        <v>119</v>
      </c>
    </row>
    <row r="475" spans="1:9" x14ac:dyDescent="0.25">
      <c r="A475" s="4" t="s">
        <v>103</v>
      </c>
    </row>
    <row r="476" spans="1:9" x14ac:dyDescent="0.25">
      <c r="A476" s="4"/>
      <c r="B476" s="1" t="s">
        <v>254</v>
      </c>
    </row>
    <row r="477" spans="1:9" x14ac:dyDescent="0.25">
      <c r="B477" s="92">
        <v>100</v>
      </c>
      <c r="C477" s="72" t="s">
        <v>251</v>
      </c>
      <c r="E477" s="2">
        <f>INT(200/J454/60)</f>
        <v>0</v>
      </c>
      <c r="F477" s="84" t="s">
        <v>1</v>
      </c>
      <c r="G477" s="68" t="str">
        <f>TEXT(MOD(ROUNDDOWN(200/J454,2),60),"00.00")</f>
        <v>32.66</v>
      </c>
      <c r="H477" s="1" t="s">
        <v>0</v>
      </c>
      <c r="I477" s="1" t="s">
        <v>119</v>
      </c>
    </row>
    <row r="478" spans="1:9" x14ac:dyDescent="0.25">
      <c r="B478" s="92">
        <v>97.5</v>
      </c>
      <c r="C478" s="72" t="s">
        <v>251</v>
      </c>
      <c r="E478" s="2">
        <f>INT(200/(J454*0.975)/60)</f>
        <v>0</v>
      </c>
      <c r="F478" s="84" t="s">
        <v>1</v>
      </c>
      <c r="G478" s="68" t="str">
        <f>TEXT(MOD(ROUNDDOWN(200/(J454*0.975),2),60),"00.00")</f>
        <v>33.50</v>
      </c>
      <c r="H478" s="1" t="s">
        <v>0</v>
      </c>
      <c r="I478" s="1" t="s">
        <v>119</v>
      </c>
    </row>
    <row r="479" spans="1:9" x14ac:dyDescent="0.25">
      <c r="B479" s="92">
        <v>95</v>
      </c>
      <c r="C479" s="72" t="s">
        <v>251</v>
      </c>
      <c r="E479" s="2">
        <f>INT(200/(J454*0.95)/60)</f>
        <v>0</v>
      </c>
      <c r="F479" s="84" t="s">
        <v>1</v>
      </c>
      <c r="G479" s="68" t="str">
        <f>TEXT(MOD(ROUNDDOWN(200/(J454*0.95),2),60),"00.00")</f>
        <v>34.38</v>
      </c>
      <c r="H479" s="1" t="s">
        <v>0</v>
      </c>
      <c r="I479" s="1" t="s">
        <v>119</v>
      </c>
    </row>
    <row r="480" spans="1:9" x14ac:dyDescent="0.25">
      <c r="B480" s="92">
        <v>92.5</v>
      </c>
      <c r="C480" s="72" t="s">
        <v>251</v>
      </c>
      <c r="E480" s="2">
        <f>INT(200/(J454*0.925)/60)</f>
        <v>0</v>
      </c>
      <c r="F480" s="84" t="s">
        <v>1</v>
      </c>
      <c r="G480" s="68" t="str">
        <f>TEXT(MOD(ROUNDDOWN(200/(J454*0.925),2),60),"00.00")</f>
        <v>35.31</v>
      </c>
      <c r="H480" s="1" t="s">
        <v>0</v>
      </c>
      <c r="I480" s="1" t="s">
        <v>119</v>
      </c>
    </row>
    <row r="481" spans="1:9" x14ac:dyDescent="0.25">
      <c r="B481" s="92">
        <v>90</v>
      </c>
      <c r="C481" s="72" t="s">
        <v>251</v>
      </c>
      <c r="E481" s="2">
        <f>INT(200/(J454*0.9)/60)</f>
        <v>0</v>
      </c>
      <c r="F481" s="84" t="s">
        <v>1</v>
      </c>
      <c r="G481" s="68" t="str">
        <f>TEXT(MOD(ROUNDDOWN(200/(J454*0.9),2),60),"00.00")</f>
        <v>36.29</v>
      </c>
      <c r="H481" s="1" t="s">
        <v>0</v>
      </c>
      <c r="I481" s="1" t="s">
        <v>119</v>
      </c>
    </row>
    <row r="482" spans="1:9" ht="8.25" customHeight="1" x14ac:dyDescent="0.25">
      <c r="B482" s="92"/>
      <c r="C482" s="72"/>
      <c r="E482" s="2"/>
      <c r="F482" s="84"/>
      <c r="G482" s="68"/>
    </row>
    <row r="483" spans="1:9" x14ac:dyDescent="0.25">
      <c r="A483" s="4" t="s">
        <v>105</v>
      </c>
    </row>
    <row r="484" spans="1:9" x14ac:dyDescent="0.25">
      <c r="A484" s="4"/>
      <c r="B484" s="1" t="s">
        <v>255</v>
      </c>
    </row>
    <row r="485" spans="1:9" x14ac:dyDescent="0.25">
      <c r="B485" s="92">
        <v>100</v>
      </c>
      <c r="C485" s="72" t="s">
        <v>251</v>
      </c>
      <c r="E485" s="2">
        <f>INT(300/J456/60)</f>
        <v>0</v>
      </c>
      <c r="F485" s="84" t="s">
        <v>1</v>
      </c>
      <c r="G485" s="68" t="str">
        <f>TEXT(MOD(ROUNDDOWN(300/J456,2),60),"00.00")</f>
        <v>50.25</v>
      </c>
      <c r="H485" s="1" t="s">
        <v>0</v>
      </c>
      <c r="I485" s="1" t="s">
        <v>119</v>
      </c>
    </row>
    <row r="486" spans="1:9" x14ac:dyDescent="0.25">
      <c r="B486" s="92">
        <v>97.5</v>
      </c>
      <c r="C486" s="72" t="s">
        <v>251</v>
      </c>
      <c r="E486" s="2">
        <f>INT(300/(J456*0.975)/60)</f>
        <v>0</v>
      </c>
      <c r="F486" s="84" t="s">
        <v>1</v>
      </c>
      <c r="G486" s="68" t="str">
        <f>TEXT(MOD(ROUNDDOWN(300/(J456*0.975),2),60),"00.00")</f>
        <v>51.53</v>
      </c>
      <c r="H486" s="1" t="s">
        <v>0</v>
      </c>
      <c r="I486" s="1" t="s">
        <v>119</v>
      </c>
    </row>
    <row r="487" spans="1:9" x14ac:dyDescent="0.25">
      <c r="B487" s="92">
        <v>95</v>
      </c>
      <c r="C487" s="72" t="s">
        <v>251</v>
      </c>
      <c r="E487" s="2">
        <f>INT(300/(J456*0.95)/60)</f>
        <v>0</v>
      </c>
      <c r="F487" s="84" t="s">
        <v>1</v>
      </c>
      <c r="G487" s="68" t="str">
        <f>TEXT(MOD(ROUNDDOWN(300/(J456*0.95),2),60),"00.00")</f>
        <v>52.89</v>
      </c>
      <c r="H487" s="1" t="s">
        <v>0</v>
      </c>
      <c r="I487" s="1" t="s">
        <v>119</v>
      </c>
    </row>
    <row r="488" spans="1:9" x14ac:dyDescent="0.25">
      <c r="B488" s="92">
        <v>92.5</v>
      </c>
      <c r="C488" s="72" t="s">
        <v>251</v>
      </c>
      <c r="E488" s="2">
        <f>INT(300/(J456*0.925)/60)</f>
        <v>0</v>
      </c>
      <c r="F488" s="84" t="s">
        <v>1</v>
      </c>
      <c r="G488" s="68" t="str">
        <f>TEXT(MOD(ROUNDDOWN(300/(J456*0.925),2),60),"00.00")</f>
        <v>54.32</v>
      </c>
      <c r="H488" s="1" t="s">
        <v>0</v>
      </c>
      <c r="I488" s="1" t="s">
        <v>119</v>
      </c>
    </row>
    <row r="489" spans="1:9" x14ac:dyDescent="0.25">
      <c r="B489" s="92">
        <v>90</v>
      </c>
      <c r="C489" s="72" t="s">
        <v>251</v>
      </c>
      <c r="E489" s="2">
        <f>INT(300/(J456*0.9)/60)</f>
        <v>0</v>
      </c>
      <c r="F489" s="84" t="s">
        <v>1</v>
      </c>
      <c r="G489" s="68" t="str">
        <f>TEXT(MOD(ROUNDDOWN(300/(J456*0.9),2),60),"00.00")</f>
        <v>55.83</v>
      </c>
      <c r="H489" s="1" t="s">
        <v>0</v>
      </c>
      <c r="I489" s="1" t="s">
        <v>119</v>
      </c>
    </row>
    <row r="490" spans="1:9" x14ac:dyDescent="0.25">
      <c r="B490" s="92"/>
      <c r="C490" s="72"/>
      <c r="E490" s="2"/>
      <c r="F490" s="84"/>
      <c r="G490" s="68"/>
    </row>
    <row r="491" spans="1:9" x14ac:dyDescent="0.25">
      <c r="B491" s="92"/>
      <c r="C491" s="72"/>
      <c r="E491" s="2"/>
      <c r="F491" s="84"/>
      <c r="G491" s="68"/>
    </row>
    <row r="492" spans="1:9" x14ac:dyDescent="0.25">
      <c r="B492" s="73"/>
      <c r="C492" s="72"/>
      <c r="F492" s="2"/>
    </row>
    <row r="493" spans="1:9" x14ac:dyDescent="0.25">
      <c r="A493" s="66" t="s">
        <v>161</v>
      </c>
    </row>
    <row r="494" spans="1:9" x14ac:dyDescent="0.25">
      <c r="A494" s="3" t="s">
        <v>77</v>
      </c>
      <c r="B494" s="1" t="s">
        <v>162</v>
      </c>
    </row>
    <row r="495" spans="1:9" x14ac:dyDescent="0.25">
      <c r="A495" s="3" t="s">
        <v>77</v>
      </c>
      <c r="B495" s="1" t="s">
        <v>163</v>
      </c>
    </row>
    <row r="496" spans="1:9" x14ac:dyDescent="0.25">
      <c r="B496" s="1" t="s">
        <v>164</v>
      </c>
    </row>
    <row r="497" spans="1:2" x14ac:dyDescent="0.25">
      <c r="A497" s="3" t="s">
        <v>258</v>
      </c>
      <c r="B497" s="1" t="s">
        <v>259</v>
      </c>
    </row>
    <row r="498" spans="1:2" x14ac:dyDescent="0.25">
      <c r="A498" s="3" t="s">
        <v>77</v>
      </c>
      <c r="B498" s="1" t="s">
        <v>165</v>
      </c>
    </row>
    <row r="499" spans="1:2" x14ac:dyDescent="0.25">
      <c r="A499" s="3" t="s">
        <v>77</v>
      </c>
      <c r="B499" s="1" t="s">
        <v>166</v>
      </c>
    </row>
    <row r="500" spans="1:2" x14ac:dyDescent="0.25">
      <c r="B500" s="1" t="s">
        <v>167</v>
      </c>
    </row>
  </sheetData>
  <mergeCells count="3">
    <mergeCell ref="A253:K253"/>
    <mergeCell ref="A1:K1"/>
    <mergeCell ref="A176:K176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Footer>&amp;L&amp;"Calibri,標準"Version 6.0&amp;R&amp;"Calibri,標準"Page &amp;P</oddFooter>
  </headerFooter>
  <rowBreaks count="7" manualBreakCount="7">
    <brk id="252" max="16383" man="1"/>
    <brk id="292" max="16383" man="1"/>
    <brk id="329" max="16383" man="1"/>
    <brk id="364" max="16383" man="1"/>
    <brk id="401" max="16383" man="1"/>
    <brk id="436" max="16383" man="1"/>
    <brk id="47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A A z T U v 9 u S R u l A A A A 9 Q A A A B I A H A B D b 2 5 m a W c v U G F j a 2 F n Z S 5 4 b W w g o h g A K K A U A A A A A A A A A A A A A A A A A A A A A A A A A A A A h Y + x D o I w G I R f h X S n r c V B y U 8 Z X C U x 0 a h r U y o 0 Q j G 0 W O K r O f h I v o I Y R d 0 c 7 7 u 7 5 O 5 + v U H a 1 1 V w V q 3 V j U n Q B F M U K C O b X J s i Q Z 0 7 h D O U c l g J e R S F C o a w s X F v d Y J K 5 0 4 x I d 5 7 7 C P c t A V h l E 7 I P l u u Z a l q E W p j n T B S o U 8 r / 9 9 C H L a v M Z z h e Y S n j G E K Z G S Q a f P 1 2 T D 3 6 f 5 A W H S V 6 1 r F L 2 W 4 2 Q E Z J Z D 3 B f 4 A U E s D B B Q A A g A I A A A M 0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A D N N S K I p H u A 4 A A A A R A A A A E w A c A E Z v c m 1 1 b G F z L 1 N l Y 3 R p b 2 4 x L m 0 g o h g A K K A U A A A A A A A A A A A A A A A A A A A A A A A A A A A A K 0 5 N L s n M z 1 M I h t C G 1 g B Q S w E C L Q A U A A I A C A A A D N N S / 2 5 J G 6 U A A A D 1 A A A A E g A A A A A A A A A A A A A A A A A A A A A A Q 2 9 u Z m l n L 1 B h Y 2 t h Z 2 U u e G 1 s U E s B A i 0 A F A A C A A g A A A z T U g / K 6 a u k A A A A 6 Q A A A B M A A A A A A A A A A A A A A A A A 8 Q A A A F t D b 2 5 0 Z W 5 0 X 1 R 5 c G V z X S 5 4 b W x Q S w E C L Q A U A A I A C A A A D N N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O + D v 3 7 p D h k C D x 3 u f i 2 + D D A A A A A A C A A A A A A A Q Z g A A A A E A A C A A A A C i W W j K 4 M z v 2 Z o f T 3 v w E a O X / w S m 5 K P 1 z t 0 X A u 5 M G V j e f Q A A A A A O g A A A A A I A A C A A A A A b 9 z C 0 Q Z p c P H S e / k / I 0 4 B s J Z s 9 x M O 2 k e y c b G o 6 / 1 o a 0 F A A A A B N P O x D M 9 l y i f m 4 k p L E x j c p l 0 L O D g g R p N T 7 D h k 9 C 2 5 9 B L R r t T 0 w 3 h 6 s 3 R k + U D Y R Y l Y 3 K + M W b j f X F P 0 5 c y 9 o l W H c r Z z t 8 H V j A P M r 4 P H 8 H g v X S 0 A A A A C 4 y 6 3 z A P Z l 6 B t e P C + N F + m M 4 4 V v d N v 1 s a l Y 1 G m b n D w d D c E q O K u 0 p g x I x 2 X 9 R l h v 4 y A d 7 5 7 s 6 p i E g 6 5 r z 9 v a J L v Z < / D a t a M a s h u p > 
</file>

<file path=customXml/itemProps1.xml><?xml version="1.0" encoding="utf-8"?>
<ds:datastoreItem xmlns:ds="http://schemas.openxmlformats.org/officeDocument/2006/customXml" ds:itemID="{8EE60397-B19D-46B0-A2E6-142E4B3346F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Percent_vVO2max</vt:lpstr>
      <vt:lpstr>Programmes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Wong Tak Shing</dc:creator>
  <cp:lastModifiedBy>Wong Tak Shing</cp:lastModifiedBy>
  <cp:lastPrinted>2021-07-15T07:33:25Z</cp:lastPrinted>
  <dcterms:created xsi:type="dcterms:W3CDTF">2016-10-14T01:05:48Z</dcterms:created>
  <dcterms:modified xsi:type="dcterms:W3CDTF">2021-07-15T07:33:32Z</dcterms:modified>
</cp:coreProperties>
</file>